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sumeghy.veronika\dokumentumok\2017\Rendeletek\"/>
    </mc:Choice>
  </mc:AlternateContent>
  <bookViews>
    <workbookView xWindow="120" yWindow="135" windowWidth="9690" windowHeight="6225" tabRatio="597"/>
  </bookViews>
  <sheets>
    <sheet name="1 kiemelt előirányzatok telj. " sheetId="58" r:id="rId1"/>
    <sheet name="2 mérleg " sheetId="41" r:id="rId2"/>
    <sheet name="3 bev.részl" sheetId="39" r:id="rId3"/>
    <sheet name="4 int bevétel" sheetId="59" r:id="rId4"/>
    <sheet name="5 normatíva" sheetId="64" r:id="rId5"/>
    <sheet name="6 int kiadás" sheetId="60" r:id="rId6"/>
    <sheet name="7. létszám ei zárás 2016 év" sheetId="61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31" r:id="rId18"/>
    <sheet name="19 pénzeszkváltsa" sheetId="45" r:id="rId19"/>
    <sheet name="20 közvetett támogatás" sheetId="46" r:id="rId20"/>
    <sheet name="21 Eu projektek" sheetId="47" r:id="rId21"/>
    <sheet name="22 többév1" sheetId="48" r:id="rId22"/>
    <sheet name="23 eszközök" sheetId="49" r:id="rId23"/>
    <sheet name="24 források" sheetId="50" r:id="rId24"/>
    <sheet name="25 lakásalapelsz" sheetId="51" r:id="rId25"/>
    <sheet name="26 segély " sheetId="52" r:id="rId26"/>
    <sheet name="27 kataszter" sheetId="53" r:id="rId27"/>
    <sheet name="28 vagyonkimutatás " sheetId="54" r:id="rId28"/>
    <sheet name="29 felhalmozás" sheetId="62" r:id="rId29"/>
    <sheet name="30 felújítás" sheetId="63" r:id="rId30"/>
    <sheet name="31 Részesedések" sheetId="5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besz" localSheetId="0">#REF!</definedName>
    <definedName name="besz">#REF!</definedName>
    <definedName name="bk" localSheetId="0">#REF!</definedName>
    <definedName name="bk" localSheetId="6">#REF!</definedName>
    <definedName name="bk">#REF!</definedName>
    <definedName name="cel_c" localSheetId="0">#REF!</definedName>
    <definedName name="cel_c">#REF!</definedName>
    <definedName name="cel_g" localSheetId="0">#REF!</definedName>
    <definedName name="cel_g">#REF!</definedName>
    <definedName name="cel_k">#REF!</definedName>
    <definedName name="cel_m">#REF!</definedName>
    <definedName name="cel_p">#REF!</definedName>
    <definedName name="css" localSheetId="0">#REF!</definedName>
    <definedName name="css" localSheetId="16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>#REF!</definedName>
    <definedName name="ffff" localSheetId="0">#REF!</definedName>
    <definedName name="ffff">#REF!</definedName>
    <definedName name="g" localSheetId="0">#REF!</definedName>
    <definedName name="g">#REF!</definedName>
    <definedName name="gyj" localSheetId="0">#REF!</definedName>
    <definedName name="gyj" localSheetId="16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>#REF!</definedName>
    <definedName name="k">#REF!</definedName>
    <definedName name="kjz" localSheetId="0">#REF!</definedName>
    <definedName name="kjz" localSheetId="16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>#REF!</definedName>
    <definedName name="klj_k_">#REF!</definedName>
    <definedName name="nev_c" localSheetId="0">#REF!</definedName>
    <definedName name="nev_c" localSheetId="16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">#REF!</definedName>
    <definedName name="nev_k" localSheetId="2">#REF!</definedName>
    <definedName name="nev_k" localSheetId="4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">'3 bev.részl'!$4:$6</definedName>
    <definedName name="_xlnm.Print_Titles" localSheetId="6">'7. létszám ei zárás 2016 év'!$1:$7</definedName>
    <definedName name="_xlnm.Print_Titles" localSheetId="8">'9 kult.'!$4:$6</definedName>
    <definedName name="_xlnm.Print_Area" localSheetId="0">'1 kiemelt előirányzatok telj. '!$A$1:$J$20</definedName>
    <definedName name="_xlnm.Print_Area" localSheetId="9">'10 szoc.'!$B$1:$F$42</definedName>
    <definedName name="_xlnm.Print_Area" localSheetId="10">'11 eü.'!$B$2:$F$38</definedName>
    <definedName name="_xlnm.Print_Area" localSheetId="11">'12 Gyerm.'!$B$2:$F$25</definedName>
    <definedName name="_xlnm.Print_Area" localSheetId="12">'13 egyéb'!$B$2:$F$99</definedName>
    <definedName name="_xlnm.Print_Area" localSheetId="13">'14 sport'!$B$2:$F$32</definedName>
    <definedName name="_xlnm.Print_Area" localSheetId="14">'15 város.ü.,körny'!$B$2:$J$31</definedName>
    <definedName name="_xlnm.Print_Area" localSheetId="15">'16 út-híd'!$B$1:$F$32</definedName>
    <definedName name="_xlnm.Print_Area" localSheetId="16">'17 fbev.'!$B$1:$G$66</definedName>
    <definedName name="_xlnm.Print_Area" localSheetId="17">'18 fkia.'!$B$1:$G$118</definedName>
    <definedName name="_xlnm.Print_Area" localSheetId="18">'19 pénzeszkváltsa'!$B$1:$C$14</definedName>
    <definedName name="_xlnm.Print_Area" localSheetId="1">'2 mérleg '!$A$2:$M$57</definedName>
    <definedName name="_xlnm.Print_Area" localSheetId="19">'20 közvetett támogatás'!$A$1:$C$23</definedName>
    <definedName name="_xlnm.Print_Area" localSheetId="20">'21 Eu projektek'!$B$1:$D$82</definedName>
    <definedName name="_xlnm.Print_Area" localSheetId="21">'22 többév1'!$B$1:$H$30</definedName>
    <definedName name="_xlnm.Print_Area" localSheetId="22">'23 eszközök'!$B$4:$G$140</definedName>
    <definedName name="_xlnm.Print_Area" localSheetId="23">'24 források'!$B$3:$G$78</definedName>
    <definedName name="_xlnm.Print_Area" localSheetId="24">'25 lakásalapelsz'!$B$3:$F$188</definedName>
    <definedName name="_xlnm.Print_Area" localSheetId="25">'26 segély '!$B$3:$G$21</definedName>
    <definedName name="_xlnm.Print_Area" localSheetId="26">'27 kataszter'!$A$2:$K$38</definedName>
    <definedName name="_xlnm.Print_Area" localSheetId="27">'28 vagyonkimutatás '!$B$5:$G$110</definedName>
    <definedName name="_xlnm.Print_Area" localSheetId="28">'29 felhalmozás'!$B$1:$D$578</definedName>
    <definedName name="_xlnm.Print_Area" localSheetId="2">'3 bev.részl'!$B$1:$J$130</definedName>
    <definedName name="_xlnm.Print_Area" localSheetId="30">'31 Részesedések'!$B$1:$J$33</definedName>
    <definedName name="_xlnm.Print_Area" localSheetId="3">'4 int bevétel'!$A$1:$BL$54</definedName>
    <definedName name="_xlnm.Print_Area" localSheetId="4">'5 normatíva'!$A$1:$E$51</definedName>
    <definedName name="_xlnm.Print_Area" localSheetId="5">'6 int kiadás'!$A$1:$AV$54</definedName>
    <definedName name="_xlnm.Print_Area" localSheetId="6">'7. létszám ei zárás 2016 év'!$A$1:$G$54</definedName>
    <definedName name="_xlnm.Print_Area" localSheetId="7">'8 okt.'!$C$1:$G$51</definedName>
    <definedName name="_xlnm.Print_Area" localSheetId="8">'9 kult.'!$B$1:$F$103</definedName>
    <definedName name="x" localSheetId="0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fbev.'!$B$1:$C$50</definedName>
    <definedName name="Z_186732C5_520C_4E06_B066_B4F3F0A3E322_.wvu.PrintArea" localSheetId="1" hidden="1">'2 mérleg '!$A$2:$I$62</definedName>
    <definedName name="Z_186732C5_520C_4E06_B066_B4F3F0A3E322_.wvu.PrintArea" localSheetId="20" hidden="1">'21 Eu projektek'!$B$3:$C$35</definedName>
    <definedName name="Z_186732C5_520C_4E06_B066_B4F3F0A3E322_.wvu.PrintArea" localSheetId="2" hidden="1">'3 bev.részl'!$B$1:$F$130</definedName>
    <definedName name="Z_186732C5_520C_4E06_B066_B4F3F0A3E322_.wvu.PrintArea" localSheetId="8" hidden="1">'9 kult.'!$B$1:$B$87</definedName>
    <definedName name="Z_6D4B996F_8915_4E78_98C2_E7EAE9C4580C_.wvu.PrintArea" localSheetId="16" hidden="1">'17 fbev.'!$B$1:$C$50</definedName>
    <definedName name="Z_6D4B996F_8915_4E78_98C2_E7EAE9C4580C_.wvu.PrintArea" localSheetId="1" hidden="1">'2 mérleg '!$A$2:$I$62</definedName>
    <definedName name="Z_6D4B996F_8915_4E78_98C2_E7EAE9C4580C_.wvu.PrintArea" localSheetId="20" hidden="1">'21 Eu projektek'!$B$3:$C$35</definedName>
    <definedName name="Z_6D4B996F_8915_4E78_98C2_E7EAE9C4580C_.wvu.PrintArea" localSheetId="2" hidden="1">'3 bev.részl'!$B$1:$F$130</definedName>
    <definedName name="Z_6D4B996F_8915_4E78_98C2_E7EAE9C4580C_.wvu.PrintArea" localSheetId="8" hidden="1">'9 kult.'!$B$1:$B$87</definedName>
    <definedName name="Z_F05CDCE5_D631_41F9_80C7_3F3E8464BF12_.wvu.PrintArea" localSheetId="6" hidden="1">'7. létszám ei zárás 2016 év'!$A$1:$E$54</definedName>
    <definedName name="Z_F05CDCE5_D631_41F9_80C7_3F3E8464BF12_.wvu.PrintTitles" localSheetId="6" hidden="1">'7. létszám ei zárás 2016 év'!$1:$7</definedName>
  </definedNames>
  <calcPr calcId="152511"/>
</workbook>
</file>

<file path=xl/calcChain.xml><?xml version="1.0" encoding="utf-8"?>
<calcChain xmlns="http://schemas.openxmlformats.org/spreadsheetml/2006/main">
  <c r="E25" i="58" l="1"/>
  <c r="E24" i="58"/>
  <c r="E49" i="64" l="1"/>
  <c r="D49" i="64"/>
  <c r="E48" i="64"/>
  <c r="E47" i="64"/>
  <c r="D46" i="64"/>
  <c r="C46" i="64"/>
  <c r="B46" i="64"/>
  <c r="E45" i="64"/>
  <c r="E44" i="64"/>
  <c r="E43" i="64"/>
  <c r="D41" i="64"/>
  <c r="C41" i="64"/>
  <c r="B41" i="64"/>
  <c r="E40" i="64"/>
  <c r="E39" i="64"/>
  <c r="D37" i="64"/>
  <c r="C37" i="64"/>
  <c r="B37" i="64"/>
  <c r="E36" i="64"/>
  <c r="E35" i="64"/>
  <c r="E34" i="64"/>
  <c r="E33" i="64"/>
  <c r="E32" i="64"/>
  <c r="E31" i="64"/>
  <c r="E30" i="64"/>
  <c r="E29" i="64"/>
  <c r="E28" i="64"/>
  <c r="E27" i="64"/>
  <c r="E26" i="64"/>
  <c r="E37" i="64" s="1"/>
  <c r="E24" i="64"/>
  <c r="D22" i="64"/>
  <c r="C22" i="64"/>
  <c r="B22" i="64"/>
  <c r="E21" i="64"/>
  <c r="E20" i="64"/>
  <c r="E19" i="64"/>
  <c r="E18" i="64"/>
  <c r="E17" i="64"/>
  <c r="E16" i="64"/>
  <c r="E15" i="64"/>
  <c r="C12" i="64"/>
  <c r="B12" i="64"/>
  <c r="D11" i="64"/>
  <c r="D12" i="64" s="1"/>
  <c r="E10" i="64"/>
  <c r="E22" i="64" l="1"/>
  <c r="D50" i="64"/>
  <c r="D51" i="64"/>
  <c r="E11" i="64"/>
  <c r="E41" i="64"/>
  <c r="E12" i="64"/>
  <c r="B51" i="64"/>
  <c r="B50" i="64"/>
  <c r="E46" i="64"/>
  <c r="C50" i="64"/>
  <c r="C51" i="64" s="1"/>
  <c r="E50" i="64"/>
  <c r="E51" i="64" s="1"/>
  <c r="F52" i="41"/>
  <c r="G52" i="41" s="1"/>
  <c r="I19" i="58"/>
  <c r="D19" i="58"/>
  <c r="AT53" i="59"/>
  <c r="AT52" i="59"/>
  <c r="AT47" i="59"/>
  <c r="AR47" i="59"/>
  <c r="AS46" i="59"/>
  <c r="AT46" i="59"/>
  <c r="AR46" i="59"/>
  <c r="AT43" i="59"/>
  <c r="AR43" i="59"/>
  <c r="AT40" i="59"/>
  <c r="AR40" i="59"/>
  <c r="AT33" i="59"/>
  <c r="AT34" i="59"/>
  <c r="AT35" i="59"/>
  <c r="AT36" i="59"/>
  <c r="AT37" i="59"/>
  <c r="AR34" i="59"/>
  <c r="AR35" i="59"/>
  <c r="AR36" i="59"/>
  <c r="AR37" i="59"/>
  <c r="AR33" i="59"/>
  <c r="AT29" i="59"/>
  <c r="AR29" i="59"/>
  <c r="AT11" i="59"/>
  <c r="AT12" i="59"/>
  <c r="AT13" i="59"/>
  <c r="AT14" i="59"/>
  <c r="AT15" i="59"/>
  <c r="AT16" i="59"/>
  <c r="AT17" i="59"/>
  <c r="AT18" i="59"/>
  <c r="AT19" i="59"/>
  <c r="AT20" i="59"/>
  <c r="AT21" i="59"/>
  <c r="AT22" i="59"/>
  <c r="AT23" i="59"/>
  <c r="AT24" i="59"/>
  <c r="AT25" i="59"/>
  <c r="AT26" i="59"/>
  <c r="AT27" i="59"/>
  <c r="AS13" i="59"/>
  <c r="AT10" i="59"/>
  <c r="AS10" i="59"/>
  <c r="AR22" i="59"/>
  <c r="AR23" i="59"/>
  <c r="AR24" i="59"/>
  <c r="AR25" i="59"/>
  <c r="AR26" i="59"/>
  <c r="AR27" i="59"/>
  <c r="AR18" i="59"/>
  <c r="AR19" i="59"/>
  <c r="AR20" i="59"/>
  <c r="AR21" i="59"/>
  <c r="AR13" i="59"/>
  <c r="AR14" i="59"/>
  <c r="AR15" i="59"/>
  <c r="AR16" i="59"/>
  <c r="AR17" i="59"/>
  <c r="AR11" i="59"/>
  <c r="AR12" i="59"/>
  <c r="AR10" i="59"/>
  <c r="AR53" i="59"/>
  <c r="AR52" i="59"/>
  <c r="E34" i="40" l="1"/>
  <c r="F34" i="40"/>
  <c r="D34" i="40"/>
  <c r="H21" i="52"/>
  <c r="H18" i="52"/>
  <c r="G44" i="31" l="1"/>
  <c r="F24" i="12"/>
  <c r="F32" i="11"/>
  <c r="F37" i="11"/>
  <c r="H124" i="39"/>
  <c r="H115" i="39"/>
  <c r="E65" i="36"/>
  <c r="D65" i="36"/>
  <c r="C65" i="36"/>
  <c r="I41" i="39" l="1"/>
  <c r="I37" i="39"/>
  <c r="J37" i="39" s="1"/>
  <c r="I112" i="39"/>
  <c r="F50" i="41"/>
  <c r="F16" i="40"/>
  <c r="F44" i="40"/>
  <c r="I94" i="39"/>
  <c r="D9" i="58" l="1"/>
  <c r="D35" i="63" l="1"/>
  <c r="D577" i="62"/>
  <c r="D559" i="62"/>
  <c r="D543" i="62"/>
  <c r="D492" i="62"/>
  <c r="D445" i="62"/>
  <c r="D433" i="62"/>
  <c r="D426" i="62"/>
  <c r="D427" i="62" s="1"/>
  <c r="D544" i="62" s="1"/>
  <c r="D546" i="62" s="1"/>
  <c r="D578" i="62" s="1"/>
  <c r="D313" i="62"/>
  <c r="D268" i="62"/>
  <c r="D227" i="62"/>
  <c r="D206" i="62"/>
  <c r="D193" i="62"/>
  <c r="D89" i="62"/>
  <c r="D194" i="62" s="1"/>
  <c r="D545" i="62" s="1"/>
  <c r="C8" i="45" l="1"/>
  <c r="E12" i="14" l="1"/>
  <c r="I10" i="58"/>
  <c r="I8" i="58"/>
  <c r="I15" i="58" l="1"/>
  <c r="I14" i="58"/>
  <c r="H29" i="60"/>
  <c r="H9" i="58"/>
  <c r="F106" i="54"/>
  <c r="E106" i="54"/>
  <c r="F32" i="54" l="1"/>
  <c r="F35" i="54"/>
  <c r="E35" i="54"/>
  <c r="F31" i="54"/>
  <c r="E31" i="54"/>
  <c r="F30" i="54"/>
  <c r="E30" i="54"/>
  <c r="F23" i="54"/>
  <c r="E23" i="54"/>
  <c r="AV55" i="60"/>
  <c r="E98" i="36"/>
  <c r="F99" i="36"/>
  <c r="F100" i="36"/>
  <c r="F94" i="36"/>
  <c r="F95" i="36"/>
  <c r="F96" i="36"/>
  <c r="F97" i="36"/>
  <c r="E93" i="36"/>
  <c r="F93" i="36" s="1"/>
  <c r="E38" i="11"/>
  <c r="E7" i="12"/>
  <c r="E35" i="12"/>
  <c r="E21" i="13"/>
  <c r="E7" i="13"/>
  <c r="E7" i="11"/>
  <c r="E29" i="36"/>
  <c r="E24" i="36"/>
  <c r="E19" i="36"/>
  <c r="E23" i="36" s="1"/>
  <c r="E16" i="36"/>
  <c r="E9" i="36"/>
  <c r="E53" i="61"/>
  <c r="D53" i="61"/>
  <c r="C53" i="61"/>
  <c r="B53" i="61"/>
  <c r="E52" i="61"/>
  <c r="D52" i="61"/>
  <c r="C52" i="61"/>
  <c r="B52" i="61"/>
  <c r="E51" i="61"/>
  <c r="D51" i="61"/>
  <c r="C51" i="61"/>
  <c r="B51" i="61"/>
  <c r="E46" i="61"/>
  <c r="D46" i="61"/>
  <c r="C46" i="61"/>
  <c r="B46" i="61"/>
  <c r="E45" i="61"/>
  <c r="E47" i="61" s="1"/>
  <c r="D45" i="61"/>
  <c r="D47" i="61" s="1"/>
  <c r="C45" i="61"/>
  <c r="B45" i="61"/>
  <c r="E42" i="61"/>
  <c r="E43" i="61" s="1"/>
  <c r="D42" i="61"/>
  <c r="D43" i="61" s="1"/>
  <c r="C42" i="61"/>
  <c r="C43" i="61" s="1"/>
  <c r="B42" i="61"/>
  <c r="E39" i="61"/>
  <c r="E40" i="61" s="1"/>
  <c r="D39" i="61"/>
  <c r="D40" i="61" s="1"/>
  <c r="C39" i="61"/>
  <c r="C40" i="61" s="1"/>
  <c r="B39" i="61"/>
  <c r="E36" i="61"/>
  <c r="D36" i="61"/>
  <c r="C36" i="61"/>
  <c r="B36" i="61"/>
  <c r="E35" i="61"/>
  <c r="D35" i="61"/>
  <c r="C35" i="61"/>
  <c r="B35" i="61"/>
  <c r="E34" i="61"/>
  <c r="D34" i="61"/>
  <c r="C34" i="61"/>
  <c r="B34" i="61"/>
  <c r="E33" i="61"/>
  <c r="D33" i="61"/>
  <c r="C33" i="61"/>
  <c r="B33" i="61"/>
  <c r="E32" i="61"/>
  <c r="D32" i="61"/>
  <c r="C32" i="61"/>
  <c r="C37" i="61" s="1"/>
  <c r="B32" i="61"/>
  <c r="B37" i="61" s="1"/>
  <c r="E28" i="61"/>
  <c r="D28" i="61"/>
  <c r="C28" i="61"/>
  <c r="B28" i="61"/>
  <c r="E26" i="61"/>
  <c r="D26" i="61"/>
  <c r="C26" i="61"/>
  <c r="B26" i="61"/>
  <c r="E25" i="61"/>
  <c r="D25" i="61"/>
  <c r="C25" i="61"/>
  <c r="B25" i="61"/>
  <c r="E24" i="61"/>
  <c r="D24" i="61"/>
  <c r="C24" i="61"/>
  <c r="B24" i="61"/>
  <c r="E23" i="61"/>
  <c r="D23" i="61"/>
  <c r="C23" i="61"/>
  <c r="B23" i="61"/>
  <c r="E22" i="61"/>
  <c r="D22" i="61"/>
  <c r="C22" i="61"/>
  <c r="B22" i="61"/>
  <c r="E21" i="61"/>
  <c r="D21" i="61"/>
  <c r="C21" i="61"/>
  <c r="B21" i="61"/>
  <c r="E20" i="61"/>
  <c r="D20" i="61"/>
  <c r="C20" i="61"/>
  <c r="B20" i="61"/>
  <c r="E19" i="61"/>
  <c r="D19" i="61"/>
  <c r="C19" i="61"/>
  <c r="B19" i="61"/>
  <c r="E18" i="61"/>
  <c r="D18" i="61"/>
  <c r="C18" i="61"/>
  <c r="B18" i="61"/>
  <c r="E17" i="61"/>
  <c r="D17" i="61"/>
  <c r="C17" i="61"/>
  <c r="B17" i="61"/>
  <c r="E16" i="61"/>
  <c r="D16" i="61"/>
  <c r="C16" i="61"/>
  <c r="B16" i="61"/>
  <c r="E15" i="61"/>
  <c r="D15" i="61"/>
  <c r="C15" i="61"/>
  <c r="B15" i="61"/>
  <c r="E14" i="61"/>
  <c r="D14" i="61"/>
  <c r="C14" i="61"/>
  <c r="B14" i="61"/>
  <c r="E13" i="61"/>
  <c r="D13" i="61"/>
  <c r="C13" i="61"/>
  <c r="B13" i="61"/>
  <c r="E12" i="61"/>
  <c r="D12" i="61"/>
  <c r="C12" i="61"/>
  <c r="B12" i="61"/>
  <c r="E11" i="61"/>
  <c r="D11" i="61"/>
  <c r="C11" i="61"/>
  <c r="B11" i="61"/>
  <c r="E10" i="61"/>
  <c r="D10" i="61"/>
  <c r="C10" i="61"/>
  <c r="B10" i="61"/>
  <c r="E9" i="61"/>
  <c r="D9" i="61"/>
  <c r="C9" i="61"/>
  <c r="C27" i="61" s="1"/>
  <c r="C29" i="61" s="1"/>
  <c r="C49" i="61" s="1"/>
  <c r="B9" i="61"/>
  <c r="D27" i="61" l="1"/>
  <c r="D29" i="61" s="1"/>
  <c r="D49" i="61" s="1"/>
  <c r="G51" i="61"/>
  <c r="G52" i="61"/>
  <c r="G53" i="61"/>
  <c r="G10" i="61"/>
  <c r="G11" i="61"/>
  <c r="F45" i="61"/>
  <c r="F46" i="61"/>
  <c r="E37" i="61"/>
  <c r="E48" i="61" s="1"/>
  <c r="F12" i="61"/>
  <c r="F13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8" i="61"/>
  <c r="F33" i="61"/>
  <c r="F34" i="61"/>
  <c r="F35" i="61"/>
  <c r="F36" i="61"/>
  <c r="F42" i="61"/>
  <c r="F43" i="61" s="1"/>
  <c r="F14" i="61"/>
  <c r="G12" i="61"/>
  <c r="F39" i="61"/>
  <c r="F40" i="61" s="1"/>
  <c r="F51" i="61"/>
  <c r="E27" i="61"/>
  <c r="E29" i="61" s="1"/>
  <c r="E49" i="61" s="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8" i="61"/>
  <c r="G33" i="61"/>
  <c r="G34" i="61"/>
  <c r="G35" i="61"/>
  <c r="G36" i="61"/>
  <c r="G45" i="61"/>
  <c r="G46" i="61"/>
  <c r="F52" i="61"/>
  <c r="F53" i="61"/>
  <c r="B27" i="61"/>
  <c r="B29" i="61" s="1"/>
  <c r="B49" i="61" s="1"/>
  <c r="F10" i="61"/>
  <c r="F11" i="61"/>
  <c r="D37" i="61"/>
  <c r="D48" i="61" s="1"/>
  <c r="D50" i="61" s="1"/>
  <c r="D54" i="61" s="1"/>
  <c r="F32" i="61"/>
  <c r="B47" i="61"/>
  <c r="G32" i="61"/>
  <c r="G39" i="61"/>
  <c r="G40" i="61" s="1"/>
  <c r="C47" i="61"/>
  <c r="C48" i="61" s="1"/>
  <c r="C50" i="61" s="1"/>
  <c r="C54" i="61" s="1"/>
  <c r="F9" i="61"/>
  <c r="B40" i="61"/>
  <c r="B43" i="61"/>
  <c r="G42" i="61"/>
  <c r="G43" i="61" s="1"/>
  <c r="G9" i="61"/>
  <c r="F37" i="61" l="1"/>
  <c r="F47" i="61"/>
  <c r="G47" i="61"/>
  <c r="E50" i="61"/>
  <c r="E54" i="61" s="1"/>
  <c r="G37" i="61"/>
  <c r="B48" i="61"/>
  <c r="B50" i="61" s="1"/>
  <c r="B54" i="61" s="1"/>
  <c r="G27" i="61"/>
  <c r="G29" i="61" s="1"/>
  <c r="G49" i="61" s="1"/>
  <c r="F27" i="61"/>
  <c r="F29" i="61" s="1"/>
  <c r="F49" i="61" s="1"/>
  <c r="F48" i="61" l="1"/>
  <c r="F50" i="61" s="1"/>
  <c r="F54" i="61" s="1"/>
  <c r="G48" i="61"/>
  <c r="G50" i="61" s="1"/>
  <c r="G54" i="61" s="1"/>
  <c r="AT56" i="60"/>
  <c r="AS56" i="60"/>
  <c r="AQ56" i="60"/>
  <c r="AU56" i="60" s="1"/>
  <c r="AP56" i="60"/>
  <c r="AO56" i="60"/>
  <c r="AK56" i="60"/>
  <c r="AJ56" i="60"/>
  <c r="AG56" i="60"/>
  <c r="AF56" i="60"/>
  <c r="AC56" i="60"/>
  <c r="AB56" i="60"/>
  <c r="X56" i="60"/>
  <c r="W56" i="60"/>
  <c r="T56" i="60"/>
  <c r="S56" i="60"/>
  <c r="P56" i="60"/>
  <c r="O56" i="60"/>
  <c r="K56" i="60"/>
  <c r="J56" i="60"/>
  <c r="G56" i="60"/>
  <c r="F56" i="60"/>
  <c r="C56" i="60"/>
  <c r="B56" i="60"/>
  <c r="AQ53" i="60"/>
  <c r="AG53" i="60"/>
  <c r="AI53" i="60" s="1"/>
  <c r="AC53" i="60"/>
  <c r="AB53" i="60"/>
  <c r="AO53" i="60" s="1"/>
  <c r="Y53" i="60"/>
  <c r="AU53" i="60" s="1"/>
  <c r="T53" i="60"/>
  <c r="V53" i="60" s="1"/>
  <c r="S53" i="60"/>
  <c r="K53" i="60"/>
  <c r="M53" i="60" s="1"/>
  <c r="J53" i="60"/>
  <c r="G53" i="60"/>
  <c r="I53" i="60" s="1"/>
  <c r="F53" i="60"/>
  <c r="C53" i="60"/>
  <c r="B53" i="60"/>
  <c r="AQ52" i="60"/>
  <c r="AG52" i="60"/>
  <c r="AC52" i="60"/>
  <c r="AE52" i="60" s="1"/>
  <c r="AB52" i="60"/>
  <c r="AO52" i="60" s="1"/>
  <c r="Y52" i="60"/>
  <c r="K52" i="60"/>
  <c r="M52" i="60" s="1"/>
  <c r="J52" i="60"/>
  <c r="G52" i="60"/>
  <c r="I52" i="60" s="1"/>
  <c r="F52" i="60"/>
  <c r="C52" i="60"/>
  <c r="B52" i="60"/>
  <c r="AL50" i="60"/>
  <c r="AH49" i="60"/>
  <c r="AL48" i="60"/>
  <c r="AK48" i="60"/>
  <c r="AJ48" i="60"/>
  <c r="AH48" i="60"/>
  <c r="AF48" i="60"/>
  <c r="AD48" i="60"/>
  <c r="U48" i="60"/>
  <c r="T48" i="60"/>
  <c r="S48" i="60"/>
  <c r="Q48" i="60"/>
  <c r="P48" i="60"/>
  <c r="P49" i="60" s="1"/>
  <c r="P51" i="60" s="1"/>
  <c r="P54" i="60" s="1"/>
  <c r="P57" i="60" s="1"/>
  <c r="O48" i="60"/>
  <c r="L48" i="60"/>
  <c r="H48" i="60"/>
  <c r="D48" i="60"/>
  <c r="AQ47" i="60"/>
  <c r="AO47" i="60"/>
  <c r="AG47" i="60"/>
  <c r="AI47" i="60" s="1"/>
  <c r="AC47" i="60"/>
  <c r="Y47" i="60"/>
  <c r="K47" i="60"/>
  <c r="M47" i="60" s="1"/>
  <c r="J47" i="60"/>
  <c r="G47" i="60"/>
  <c r="I47" i="60" s="1"/>
  <c r="F47" i="60"/>
  <c r="C47" i="60"/>
  <c r="B47" i="60"/>
  <c r="AQ46" i="60"/>
  <c r="AG46" i="60"/>
  <c r="AI46" i="60" s="1"/>
  <c r="AC46" i="60"/>
  <c r="AB46" i="60"/>
  <c r="AB48" i="60" s="1"/>
  <c r="Y46" i="60"/>
  <c r="Y48" i="60" s="1"/>
  <c r="K46" i="60"/>
  <c r="M46" i="60" s="1"/>
  <c r="J46" i="60"/>
  <c r="G46" i="60"/>
  <c r="I46" i="60" s="1"/>
  <c r="F46" i="60"/>
  <c r="C46" i="60"/>
  <c r="E46" i="60" s="1"/>
  <c r="B46" i="60"/>
  <c r="B48" i="60" s="1"/>
  <c r="AY45" i="60"/>
  <c r="AW45" i="60"/>
  <c r="AL44" i="60"/>
  <c r="AK44" i="60"/>
  <c r="AJ44" i="60"/>
  <c r="AH44" i="60"/>
  <c r="AF44" i="60"/>
  <c r="AD44" i="60"/>
  <c r="U44" i="60"/>
  <c r="T44" i="60"/>
  <c r="S44" i="60"/>
  <c r="Q44" i="60"/>
  <c r="P44" i="60"/>
  <c r="O44" i="60"/>
  <c r="L44" i="60"/>
  <c r="H44" i="60"/>
  <c r="D44" i="60"/>
  <c r="AQ43" i="60"/>
  <c r="AQ44" i="60" s="1"/>
  <c r="AG43" i="60"/>
  <c r="AG44" i="60" s="1"/>
  <c r="AC43" i="60"/>
  <c r="AB43" i="60"/>
  <c r="AB44" i="60" s="1"/>
  <c r="Y43" i="60"/>
  <c r="Y44" i="60" s="1"/>
  <c r="K43" i="60"/>
  <c r="K44" i="60" s="1"/>
  <c r="M44" i="60" s="1"/>
  <c r="J43" i="60"/>
  <c r="J44" i="60" s="1"/>
  <c r="G43" i="60"/>
  <c r="G44" i="60" s="1"/>
  <c r="I44" i="60" s="1"/>
  <c r="F43" i="60"/>
  <c r="F44" i="60" s="1"/>
  <c r="C43" i="60"/>
  <c r="E43" i="60" s="1"/>
  <c r="B43" i="60"/>
  <c r="AY42" i="60"/>
  <c r="AW42" i="60"/>
  <c r="AL41" i="60"/>
  <c r="AK41" i="60"/>
  <c r="AJ41" i="60"/>
  <c r="AH41" i="60"/>
  <c r="AF41" i="60"/>
  <c r="AD41" i="60"/>
  <c r="U41" i="60"/>
  <c r="Q41" i="60"/>
  <c r="P41" i="60"/>
  <c r="O41" i="60"/>
  <c r="L41" i="60"/>
  <c r="H41" i="60"/>
  <c r="D41" i="60"/>
  <c r="AQ40" i="60"/>
  <c r="AQ41" i="60" s="1"/>
  <c r="AG40" i="60"/>
  <c r="AG41" i="60" s="1"/>
  <c r="AC40" i="60"/>
  <c r="AC41" i="60" s="1"/>
  <c r="AB40" i="60"/>
  <c r="AB41" i="60" s="1"/>
  <c r="Y40" i="60"/>
  <c r="AU40" i="60" s="1"/>
  <c r="T40" i="60"/>
  <c r="T41" i="60" s="1"/>
  <c r="V41" i="60" s="1"/>
  <c r="S40" i="60"/>
  <c r="S41" i="60" s="1"/>
  <c r="K40" i="60"/>
  <c r="J40" i="60"/>
  <c r="J41" i="60" s="1"/>
  <c r="G40" i="60"/>
  <c r="I40" i="60" s="1"/>
  <c r="F40" i="60"/>
  <c r="F41" i="60" s="1"/>
  <c r="C40" i="60"/>
  <c r="E40" i="60" s="1"/>
  <c r="B40" i="60"/>
  <c r="AY39" i="60"/>
  <c r="AW39" i="60"/>
  <c r="AL38" i="60"/>
  <c r="AL49" i="60" s="1"/>
  <c r="AK38" i="60"/>
  <c r="AK49" i="60" s="1"/>
  <c r="AH38" i="60"/>
  <c r="AD38" i="60"/>
  <c r="AD49" i="60" s="1"/>
  <c r="AB38" i="60"/>
  <c r="U38" i="60"/>
  <c r="U49" i="60" s="1"/>
  <c r="Q38" i="60"/>
  <c r="Q49" i="60" s="1"/>
  <c r="P38" i="60"/>
  <c r="O38" i="60"/>
  <c r="L38" i="60"/>
  <c r="H38" i="60"/>
  <c r="D38" i="60"/>
  <c r="AQ37" i="60"/>
  <c r="AO37" i="60"/>
  <c r="AG37" i="60"/>
  <c r="AI37" i="60" s="1"/>
  <c r="AC37" i="60"/>
  <c r="AE37" i="60" s="1"/>
  <c r="Y37" i="60"/>
  <c r="T37" i="60"/>
  <c r="V37" i="60" s="1"/>
  <c r="S37" i="60"/>
  <c r="S38" i="60" s="1"/>
  <c r="K37" i="60"/>
  <c r="M37" i="60" s="1"/>
  <c r="J37" i="60"/>
  <c r="G37" i="60"/>
  <c r="F37" i="60"/>
  <c r="C37" i="60"/>
  <c r="E37" i="60" s="1"/>
  <c r="B37" i="60"/>
  <c r="AQ36" i="60"/>
  <c r="AO36" i="60"/>
  <c r="AC36" i="60"/>
  <c r="Y36" i="60"/>
  <c r="AU36" i="60" s="1"/>
  <c r="K36" i="60"/>
  <c r="J36" i="60"/>
  <c r="G36" i="60"/>
  <c r="I36" i="60" s="1"/>
  <c r="F36" i="60"/>
  <c r="C36" i="60"/>
  <c r="E36" i="60" s="1"/>
  <c r="B36" i="60"/>
  <c r="AQ35" i="60"/>
  <c r="AJ35" i="60"/>
  <c r="AJ38" i="60" s="1"/>
  <c r="AJ49" i="60" s="1"/>
  <c r="AF35" i="60"/>
  <c r="AC35" i="60"/>
  <c r="AE35" i="60" s="1"/>
  <c r="Y35" i="60"/>
  <c r="AU35" i="60" s="1"/>
  <c r="T35" i="60"/>
  <c r="K35" i="60"/>
  <c r="M35" i="60" s="1"/>
  <c r="J35" i="60"/>
  <c r="G35" i="60"/>
  <c r="I35" i="60" s="1"/>
  <c r="F35" i="60"/>
  <c r="C35" i="60"/>
  <c r="B35" i="60"/>
  <c r="AQ34" i="60"/>
  <c r="AO34" i="60"/>
  <c r="AC34" i="60"/>
  <c r="AP34" i="60" s="1"/>
  <c r="AR34" i="60" s="1"/>
  <c r="Y34" i="60"/>
  <c r="AU34" i="60" s="1"/>
  <c r="K34" i="60"/>
  <c r="J34" i="60"/>
  <c r="G34" i="60"/>
  <c r="I34" i="60" s="1"/>
  <c r="F34" i="60"/>
  <c r="C34" i="60"/>
  <c r="E34" i="60" s="1"/>
  <c r="B34" i="60"/>
  <c r="AQ33" i="60"/>
  <c r="AO33" i="60"/>
  <c r="AG33" i="60"/>
  <c r="AC33" i="60"/>
  <c r="AE33" i="60" s="1"/>
  <c r="Y33" i="60"/>
  <c r="AU33" i="60" s="1"/>
  <c r="K33" i="60"/>
  <c r="J33" i="60"/>
  <c r="G33" i="60"/>
  <c r="I33" i="60" s="1"/>
  <c r="F33" i="60"/>
  <c r="C33" i="60"/>
  <c r="E33" i="60" s="1"/>
  <c r="B33" i="60"/>
  <c r="AY32" i="60"/>
  <c r="AW32" i="60"/>
  <c r="AY31" i="60"/>
  <c r="AW31" i="60"/>
  <c r="AQ29" i="60"/>
  <c r="AO29" i="60"/>
  <c r="AG29" i="60"/>
  <c r="AI29" i="60" s="1"/>
  <c r="AC29" i="60"/>
  <c r="AE29" i="60" s="1"/>
  <c r="Y29" i="60"/>
  <c r="AU29" i="60" s="1"/>
  <c r="AY29" i="60" s="1"/>
  <c r="T29" i="60"/>
  <c r="V29" i="60" s="1"/>
  <c r="K29" i="60"/>
  <c r="M29" i="60" s="1"/>
  <c r="J29" i="60"/>
  <c r="G29" i="60"/>
  <c r="I29" i="60" s="1"/>
  <c r="F29" i="60"/>
  <c r="C29" i="60"/>
  <c r="B29" i="60"/>
  <c r="AL28" i="60"/>
  <c r="AL30" i="60" s="1"/>
  <c r="AK28" i="60"/>
  <c r="AK30" i="60" s="1"/>
  <c r="AK50" i="60" s="1"/>
  <c r="AJ28" i="60"/>
  <c r="AJ30" i="60" s="1"/>
  <c r="AJ50" i="60" s="1"/>
  <c r="AH28" i="60"/>
  <c r="AH30" i="60" s="1"/>
  <c r="AF28" i="60"/>
  <c r="AF30" i="60" s="1"/>
  <c r="AF50" i="60" s="1"/>
  <c r="AD28" i="60"/>
  <c r="AD30" i="60" s="1"/>
  <c r="AB28" i="60"/>
  <c r="AB30" i="60" s="1"/>
  <c r="AB50" i="60" s="1"/>
  <c r="U28" i="60"/>
  <c r="U30" i="60" s="1"/>
  <c r="T28" i="60"/>
  <c r="S28" i="60"/>
  <c r="S30" i="60" s="1"/>
  <c r="S50" i="60" s="1"/>
  <c r="Q28" i="60"/>
  <c r="Q30" i="60" s="1"/>
  <c r="Q50" i="60" s="1"/>
  <c r="P28" i="60"/>
  <c r="P30" i="60" s="1"/>
  <c r="P50" i="60" s="1"/>
  <c r="O28" i="60"/>
  <c r="O30" i="60" s="1"/>
  <c r="O50" i="60" s="1"/>
  <c r="L28" i="60"/>
  <c r="H28" i="60"/>
  <c r="AQ27" i="60"/>
  <c r="AO27" i="60"/>
  <c r="AG27" i="60"/>
  <c r="AI27" i="60" s="1"/>
  <c r="AC27" i="60"/>
  <c r="AE27" i="60" s="1"/>
  <c r="Y27" i="60"/>
  <c r="K27" i="60"/>
  <c r="M27" i="60" s="1"/>
  <c r="J27" i="60"/>
  <c r="G27" i="60"/>
  <c r="I27" i="60" s="1"/>
  <c r="F27" i="60"/>
  <c r="C27" i="60"/>
  <c r="E27" i="60" s="1"/>
  <c r="B27" i="60"/>
  <c r="AQ26" i="60"/>
  <c r="AO26" i="60"/>
  <c r="AG26" i="60"/>
  <c r="AI26" i="60" s="1"/>
  <c r="AC26" i="60"/>
  <c r="AE26" i="60" s="1"/>
  <c r="Y26" i="60"/>
  <c r="K26" i="60"/>
  <c r="M26" i="60" s="1"/>
  <c r="J26" i="60"/>
  <c r="G26" i="60"/>
  <c r="I26" i="60" s="1"/>
  <c r="F26" i="60"/>
  <c r="C26" i="60"/>
  <c r="E26" i="60" s="1"/>
  <c r="B26" i="60"/>
  <c r="AQ25" i="60"/>
  <c r="AO25" i="60"/>
  <c r="AG25" i="60"/>
  <c r="AI25" i="60" s="1"/>
  <c r="AC25" i="60"/>
  <c r="Y25" i="60"/>
  <c r="K25" i="60"/>
  <c r="M25" i="60" s="1"/>
  <c r="J25" i="60"/>
  <c r="G25" i="60"/>
  <c r="I25" i="60" s="1"/>
  <c r="F25" i="60"/>
  <c r="C25" i="60"/>
  <c r="E25" i="60" s="1"/>
  <c r="B25" i="60"/>
  <c r="AQ24" i="60"/>
  <c r="AO24" i="60"/>
  <c r="AG24" i="60"/>
  <c r="AI24" i="60" s="1"/>
  <c r="AC24" i="60"/>
  <c r="AE24" i="60" s="1"/>
  <c r="Y24" i="60"/>
  <c r="K24" i="60"/>
  <c r="M24" i="60" s="1"/>
  <c r="J24" i="60"/>
  <c r="G24" i="60"/>
  <c r="I24" i="60" s="1"/>
  <c r="F24" i="60"/>
  <c r="C24" i="60"/>
  <c r="B24" i="60"/>
  <c r="AQ23" i="60"/>
  <c r="AO23" i="60"/>
  <c r="AG23" i="60"/>
  <c r="AI23" i="60" s="1"/>
  <c r="AC23" i="60"/>
  <c r="AE23" i="60" s="1"/>
  <c r="Y23" i="60"/>
  <c r="K23" i="60"/>
  <c r="M23" i="60" s="1"/>
  <c r="J23" i="60"/>
  <c r="G23" i="60"/>
  <c r="I23" i="60" s="1"/>
  <c r="F23" i="60"/>
  <c r="C23" i="60"/>
  <c r="E23" i="60" s="1"/>
  <c r="B23" i="60"/>
  <c r="AQ22" i="60"/>
  <c r="AO22" i="60"/>
  <c r="AG22" i="60"/>
  <c r="AI22" i="60" s="1"/>
  <c r="AC22" i="60"/>
  <c r="AE22" i="60" s="1"/>
  <c r="Y22" i="60"/>
  <c r="K22" i="60"/>
  <c r="M22" i="60" s="1"/>
  <c r="J22" i="60"/>
  <c r="G22" i="60"/>
  <c r="I22" i="60" s="1"/>
  <c r="F22" i="60"/>
  <c r="C22" i="60"/>
  <c r="B22" i="60"/>
  <c r="AQ21" i="60"/>
  <c r="AO21" i="60"/>
  <c r="AG21" i="60"/>
  <c r="AI21" i="60" s="1"/>
  <c r="AC21" i="60"/>
  <c r="AE21" i="60" s="1"/>
  <c r="Y21" i="60"/>
  <c r="K21" i="60"/>
  <c r="M21" i="60" s="1"/>
  <c r="J21" i="60"/>
  <c r="G21" i="60"/>
  <c r="I21" i="60" s="1"/>
  <c r="F21" i="60"/>
  <c r="C21" i="60"/>
  <c r="B21" i="60"/>
  <c r="AQ20" i="60"/>
  <c r="AO20" i="60"/>
  <c r="AG20" i="60"/>
  <c r="AI20" i="60" s="1"/>
  <c r="AC20" i="60"/>
  <c r="AE20" i="60" s="1"/>
  <c r="Y20" i="60"/>
  <c r="K20" i="60"/>
  <c r="M20" i="60" s="1"/>
  <c r="J20" i="60"/>
  <c r="G20" i="60"/>
  <c r="I20" i="60" s="1"/>
  <c r="F20" i="60"/>
  <c r="C20" i="60"/>
  <c r="B20" i="60"/>
  <c r="AQ19" i="60"/>
  <c r="AO19" i="60"/>
  <c r="AG19" i="60"/>
  <c r="AI19" i="60" s="1"/>
  <c r="AC19" i="60"/>
  <c r="AE19" i="60" s="1"/>
  <c r="Y19" i="60"/>
  <c r="K19" i="60"/>
  <c r="M19" i="60" s="1"/>
  <c r="J19" i="60"/>
  <c r="G19" i="60"/>
  <c r="I19" i="60" s="1"/>
  <c r="F19" i="60"/>
  <c r="C19" i="60"/>
  <c r="B19" i="60"/>
  <c r="AQ18" i="60"/>
  <c r="AO18" i="60"/>
  <c r="AG18" i="60"/>
  <c r="AI18" i="60" s="1"/>
  <c r="AC18" i="60"/>
  <c r="AE18" i="60" s="1"/>
  <c r="Y18" i="60"/>
  <c r="K18" i="60"/>
  <c r="M18" i="60" s="1"/>
  <c r="J18" i="60"/>
  <c r="G18" i="60"/>
  <c r="I18" i="60" s="1"/>
  <c r="F18" i="60"/>
  <c r="C18" i="60"/>
  <c r="B18" i="60"/>
  <c r="AQ17" i="60"/>
  <c r="AO17" i="60"/>
  <c r="AG17" i="60"/>
  <c r="AI17" i="60" s="1"/>
  <c r="AC17" i="60"/>
  <c r="Y17" i="60"/>
  <c r="K17" i="60"/>
  <c r="M17" i="60" s="1"/>
  <c r="J17" i="60"/>
  <c r="G17" i="60"/>
  <c r="I17" i="60" s="1"/>
  <c r="F17" i="60"/>
  <c r="C17" i="60"/>
  <c r="E17" i="60" s="1"/>
  <c r="B17" i="60"/>
  <c r="AQ16" i="60"/>
  <c r="AO16" i="60"/>
  <c r="AG16" i="60"/>
  <c r="AI16" i="60" s="1"/>
  <c r="AC16" i="60"/>
  <c r="Y16" i="60"/>
  <c r="AU16" i="60" s="1"/>
  <c r="K16" i="60"/>
  <c r="M16" i="60" s="1"/>
  <c r="J16" i="60"/>
  <c r="G16" i="60"/>
  <c r="I16" i="60" s="1"/>
  <c r="F16" i="60"/>
  <c r="D16" i="60"/>
  <c r="C16" i="60"/>
  <c r="B16" i="60"/>
  <c r="AQ15" i="60"/>
  <c r="AO15" i="60"/>
  <c r="AG15" i="60"/>
  <c r="AI15" i="60" s="1"/>
  <c r="AC15" i="60"/>
  <c r="Y15" i="60"/>
  <c r="AU15" i="60" s="1"/>
  <c r="K15" i="60"/>
  <c r="M15" i="60" s="1"/>
  <c r="J15" i="60"/>
  <c r="G15" i="60"/>
  <c r="I15" i="60" s="1"/>
  <c r="F15" i="60"/>
  <c r="C15" i="60"/>
  <c r="B15" i="60"/>
  <c r="AQ14" i="60"/>
  <c r="AO14" i="60"/>
  <c r="AG14" i="60"/>
  <c r="AI14" i="60" s="1"/>
  <c r="AC14" i="60"/>
  <c r="Y14" i="60"/>
  <c r="AU14" i="60" s="1"/>
  <c r="K14" i="60"/>
  <c r="M14" i="60" s="1"/>
  <c r="J14" i="60"/>
  <c r="G14" i="60"/>
  <c r="I14" i="60" s="1"/>
  <c r="F14" i="60"/>
  <c r="C14" i="60"/>
  <c r="B14" i="60"/>
  <c r="AQ13" i="60"/>
  <c r="AO13" i="60"/>
  <c r="AC13" i="60"/>
  <c r="AP13" i="60" s="1"/>
  <c r="AR13" i="60" s="1"/>
  <c r="Y13" i="60"/>
  <c r="AU13" i="60" s="1"/>
  <c r="K13" i="60"/>
  <c r="J13" i="60"/>
  <c r="G13" i="60"/>
  <c r="I13" i="60" s="1"/>
  <c r="F13" i="60"/>
  <c r="C13" i="60"/>
  <c r="E13" i="60" s="1"/>
  <c r="B13" i="60"/>
  <c r="AQ12" i="60"/>
  <c r="AO12" i="60"/>
  <c r="AG12" i="60"/>
  <c r="AC12" i="60"/>
  <c r="AE12" i="60" s="1"/>
  <c r="Y12" i="60"/>
  <c r="K12" i="60"/>
  <c r="J12" i="60"/>
  <c r="G12" i="60"/>
  <c r="I12" i="60" s="1"/>
  <c r="F12" i="60"/>
  <c r="C12" i="60"/>
  <c r="E12" i="60" s="1"/>
  <c r="B12" i="60"/>
  <c r="AQ11" i="60"/>
  <c r="AO11" i="60"/>
  <c r="AG11" i="60"/>
  <c r="AC11" i="60"/>
  <c r="AE11" i="60" s="1"/>
  <c r="Y11" i="60"/>
  <c r="AU11" i="60" s="1"/>
  <c r="K11" i="60"/>
  <c r="J11" i="60"/>
  <c r="G11" i="60"/>
  <c r="I11" i="60" s="1"/>
  <c r="F11" i="60"/>
  <c r="C11" i="60"/>
  <c r="E11" i="60" s="1"/>
  <c r="B11" i="60"/>
  <c r="AQ10" i="60"/>
  <c r="AQ28" i="60" s="1"/>
  <c r="AO10" i="60"/>
  <c r="AG10" i="60"/>
  <c r="AC10" i="60"/>
  <c r="AE10" i="60" s="1"/>
  <c r="Y10" i="60"/>
  <c r="K10" i="60"/>
  <c r="J10" i="60"/>
  <c r="G10" i="60"/>
  <c r="I10" i="60" s="1"/>
  <c r="F10" i="60"/>
  <c r="C10" i="60"/>
  <c r="E10" i="60" s="1"/>
  <c r="B10" i="60"/>
  <c r="BJ56" i="59"/>
  <c r="BI56" i="59"/>
  <c r="BF56" i="59"/>
  <c r="BE56" i="59"/>
  <c r="BB56" i="59"/>
  <c r="BA56" i="59"/>
  <c r="AX56" i="59"/>
  <c r="AW56" i="59"/>
  <c r="AS56" i="59"/>
  <c r="AO56" i="59"/>
  <c r="AK56" i="59"/>
  <c r="AJ56" i="59"/>
  <c r="AI56" i="59"/>
  <c r="AF56" i="59"/>
  <c r="AE56" i="59"/>
  <c r="AB56" i="59"/>
  <c r="AA56" i="59"/>
  <c r="X56" i="59"/>
  <c r="W56" i="59"/>
  <c r="T56" i="59"/>
  <c r="S56" i="59"/>
  <c r="R56" i="59"/>
  <c r="O56" i="59"/>
  <c r="N56" i="59"/>
  <c r="K56" i="59"/>
  <c r="J56" i="59"/>
  <c r="G56" i="59"/>
  <c r="F56" i="59"/>
  <c r="C56" i="59"/>
  <c r="B56" i="59"/>
  <c r="BG53" i="59"/>
  <c r="BB53" i="59"/>
  <c r="BD53" i="59" s="1"/>
  <c r="BA53" i="59"/>
  <c r="AX53" i="59"/>
  <c r="AW53" i="59"/>
  <c r="AO53" i="59"/>
  <c r="AK53" i="59"/>
  <c r="BM53" i="59" s="1"/>
  <c r="AI53" i="59"/>
  <c r="X53" i="59"/>
  <c r="T53" i="59"/>
  <c r="O53" i="59"/>
  <c r="Q53" i="59" s="1"/>
  <c r="G53" i="59"/>
  <c r="I53" i="59" s="1"/>
  <c r="C53" i="59"/>
  <c r="E53" i="59" s="1"/>
  <c r="B53" i="59"/>
  <c r="R53" i="59" s="1"/>
  <c r="BG52" i="59"/>
  <c r="BB52" i="59"/>
  <c r="AX52" i="59"/>
  <c r="AZ52" i="59" s="1"/>
  <c r="AW52" i="59"/>
  <c r="BE52" i="59" s="1"/>
  <c r="AO52" i="59"/>
  <c r="AK52" i="59"/>
  <c r="BM52" i="59" s="1"/>
  <c r="AJ52" i="59"/>
  <c r="AI52" i="59"/>
  <c r="T52" i="59"/>
  <c r="C52" i="59"/>
  <c r="E52" i="59" s="1"/>
  <c r="B52" i="59"/>
  <c r="R52" i="59" s="1"/>
  <c r="BC48" i="59"/>
  <c r="AY48" i="59"/>
  <c r="AP48" i="59"/>
  <c r="AN48" i="59"/>
  <c r="AG48" i="59"/>
  <c r="AF48" i="59"/>
  <c r="AE48" i="59"/>
  <c r="AC48" i="59"/>
  <c r="AB48" i="59"/>
  <c r="AA48" i="59"/>
  <c r="Y48" i="59"/>
  <c r="W48" i="59"/>
  <c r="P48" i="59"/>
  <c r="O48" i="59"/>
  <c r="N48" i="59"/>
  <c r="L48" i="59"/>
  <c r="K48" i="59"/>
  <c r="J48" i="59"/>
  <c r="H48" i="59"/>
  <c r="F48" i="59"/>
  <c r="D48" i="59"/>
  <c r="BG47" i="59"/>
  <c r="BB47" i="59"/>
  <c r="BD47" i="59" s="1"/>
  <c r="AX47" i="59"/>
  <c r="AZ47" i="59" s="1"/>
  <c r="AW47" i="59"/>
  <c r="BE47" i="59" s="1"/>
  <c r="AO47" i="59"/>
  <c r="AS47" i="59" s="1"/>
  <c r="AK47" i="59"/>
  <c r="BM47" i="59" s="1"/>
  <c r="AI47" i="59"/>
  <c r="X47" i="59"/>
  <c r="T47" i="59"/>
  <c r="G47" i="59"/>
  <c r="I47" i="59" s="1"/>
  <c r="C47" i="59"/>
  <c r="B47" i="59"/>
  <c r="R47" i="59" s="1"/>
  <c r="BG46" i="59"/>
  <c r="BG48" i="59" s="1"/>
  <c r="BB46" i="59"/>
  <c r="BD46" i="59" s="1"/>
  <c r="BA46" i="59"/>
  <c r="AX46" i="59"/>
  <c r="AW46" i="59"/>
  <c r="AT48" i="59"/>
  <c r="AR48" i="59"/>
  <c r="AQ46" i="59"/>
  <c r="AK46" i="59"/>
  <c r="AK48" i="59" s="1"/>
  <c r="AJ46" i="59"/>
  <c r="AI46" i="59"/>
  <c r="AI48" i="59" s="1"/>
  <c r="T46" i="59"/>
  <c r="G46" i="59"/>
  <c r="I46" i="59" s="1"/>
  <c r="B46" i="59"/>
  <c r="BC44" i="59"/>
  <c r="BA44" i="59"/>
  <c r="AY44" i="59"/>
  <c r="AP44" i="59"/>
  <c r="AN44" i="59"/>
  <c r="AG44" i="59"/>
  <c r="AF44" i="59"/>
  <c r="AE44" i="59"/>
  <c r="AC44" i="59"/>
  <c r="Y44" i="59"/>
  <c r="X44" i="59"/>
  <c r="W44" i="59"/>
  <c r="T44" i="59"/>
  <c r="P44" i="59"/>
  <c r="O44" i="59"/>
  <c r="N44" i="59"/>
  <c r="L44" i="59"/>
  <c r="K44" i="59"/>
  <c r="J44" i="59"/>
  <c r="H44" i="59"/>
  <c r="D44" i="59"/>
  <c r="BG43" i="59"/>
  <c r="BB43" i="59"/>
  <c r="BD43" i="59" s="1"/>
  <c r="AX43" i="59"/>
  <c r="AW43" i="59"/>
  <c r="AW44" i="59" s="1"/>
  <c r="AT44" i="59"/>
  <c r="AR44" i="59"/>
  <c r="AO43" i="59"/>
  <c r="AK43" i="59"/>
  <c r="AK44" i="59" s="1"/>
  <c r="AB43" i="59"/>
  <c r="AA43" i="59"/>
  <c r="T43" i="59"/>
  <c r="G43" i="59"/>
  <c r="I43" i="59" s="1"/>
  <c r="F43" i="59"/>
  <c r="F44" i="59" s="1"/>
  <c r="C43" i="59"/>
  <c r="B43" i="59"/>
  <c r="BC41" i="59"/>
  <c r="BB41" i="59"/>
  <c r="BA41" i="59"/>
  <c r="AY41" i="59"/>
  <c r="AP41" i="59"/>
  <c r="AN41" i="59"/>
  <c r="AG41" i="59"/>
  <c r="AF41" i="59"/>
  <c r="AE41" i="59"/>
  <c r="AC41" i="59"/>
  <c r="AB41" i="59"/>
  <c r="AA41" i="59"/>
  <c r="Y41" i="59"/>
  <c r="X41" i="59"/>
  <c r="W41" i="59"/>
  <c r="P41" i="59"/>
  <c r="O41" i="59"/>
  <c r="N41" i="59"/>
  <c r="L41" i="59"/>
  <c r="K41" i="59"/>
  <c r="J41" i="59"/>
  <c r="H41" i="59"/>
  <c r="G41" i="59"/>
  <c r="F41" i="59"/>
  <c r="D41" i="59"/>
  <c r="BG40" i="59"/>
  <c r="BG41" i="59" s="1"/>
  <c r="AX40" i="59"/>
  <c r="AW40" i="59"/>
  <c r="AW41" i="59" s="1"/>
  <c r="AR41" i="59"/>
  <c r="AO40" i="59"/>
  <c r="AS40" i="59" s="1"/>
  <c r="AK40" i="59"/>
  <c r="AK41" i="59" s="1"/>
  <c r="AJ40" i="59"/>
  <c r="AJ41" i="59" s="1"/>
  <c r="AI40" i="59"/>
  <c r="AI41" i="59" s="1"/>
  <c r="T40" i="59"/>
  <c r="C40" i="59"/>
  <c r="S40" i="59" s="1"/>
  <c r="U40" i="59" s="1"/>
  <c r="B40" i="59"/>
  <c r="B41" i="59" s="1"/>
  <c r="AT38" i="59"/>
  <c r="AP38" i="59"/>
  <c r="AP49" i="59" s="1"/>
  <c r="AN38" i="59"/>
  <c r="AG38" i="59"/>
  <c r="AF38" i="59"/>
  <c r="AF49" i="59" s="1"/>
  <c r="AE38" i="59"/>
  <c r="AE49" i="59" s="1"/>
  <c r="AC38" i="59"/>
  <c r="AB38" i="59"/>
  <c r="AA38" i="59"/>
  <c r="Y38" i="59"/>
  <c r="W38" i="59"/>
  <c r="P38" i="59"/>
  <c r="P49" i="59" s="1"/>
  <c r="O38" i="59"/>
  <c r="N38" i="59"/>
  <c r="H38" i="59"/>
  <c r="F38" i="59"/>
  <c r="D38" i="59"/>
  <c r="D49" i="59" s="1"/>
  <c r="BG37" i="59"/>
  <c r="BB37" i="59"/>
  <c r="BD37" i="59" s="1"/>
  <c r="AX37" i="59"/>
  <c r="AW37" i="59"/>
  <c r="BE37" i="59" s="1"/>
  <c r="AO37" i="59"/>
  <c r="AK37" i="59"/>
  <c r="BM37" i="59" s="1"/>
  <c r="AI37" i="59"/>
  <c r="X37" i="59"/>
  <c r="AJ37" i="59" s="1"/>
  <c r="T37" i="59"/>
  <c r="K37" i="59"/>
  <c r="M37" i="59" s="1"/>
  <c r="G37" i="59"/>
  <c r="I37" i="59" s="1"/>
  <c r="C37" i="59"/>
  <c r="B37" i="59"/>
  <c r="R37" i="59" s="1"/>
  <c r="BG36" i="59"/>
  <c r="BB36" i="59"/>
  <c r="BD36" i="59" s="1"/>
  <c r="AX36" i="59"/>
  <c r="AW36" i="59"/>
  <c r="BE36" i="59" s="1"/>
  <c r="AO36" i="59"/>
  <c r="AS36" i="59" s="1"/>
  <c r="AK36" i="59"/>
  <c r="BM36" i="59" s="1"/>
  <c r="AJ36" i="59"/>
  <c r="AI36" i="59"/>
  <c r="T36" i="59"/>
  <c r="G36" i="59"/>
  <c r="I36" i="59" s="1"/>
  <c r="C36" i="59"/>
  <c r="E36" i="59" s="1"/>
  <c r="B36" i="59"/>
  <c r="R36" i="59" s="1"/>
  <c r="BG35" i="59"/>
  <c r="BB35" i="59"/>
  <c r="BD35" i="59" s="1"/>
  <c r="BA35" i="59"/>
  <c r="AX35" i="59"/>
  <c r="AZ35" i="59" s="1"/>
  <c r="AW35" i="59"/>
  <c r="AO35" i="59"/>
  <c r="AS35" i="59" s="1"/>
  <c r="AK35" i="59"/>
  <c r="BM35" i="59" s="1"/>
  <c r="AJ35" i="59"/>
  <c r="AI35" i="59"/>
  <c r="T35" i="59"/>
  <c r="K35" i="59"/>
  <c r="M35" i="59" s="1"/>
  <c r="J35" i="59"/>
  <c r="J38" i="59" s="1"/>
  <c r="G35" i="59"/>
  <c r="I35" i="59" s="1"/>
  <c r="C35" i="59"/>
  <c r="E35" i="59" s="1"/>
  <c r="B35" i="59"/>
  <c r="BG34" i="59"/>
  <c r="BB34" i="59"/>
  <c r="BD34" i="59" s="1"/>
  <c r="AX34" i="59"/>
  <c r="AW34" i="59"/>
  <c r="BE34" i="59" s="1"/>
  <c r="AO34" i="59"/>
  <c r="AS34" i="59" s="1"/>
  <c r="AK34" i="59"/>
  <c r="BM34" i="59" s="1"/>
  <c r="AJ34" i="59"/>
  <c r="AI34" i="59"/>
  <c r="T34" i="59"/>
  <c r="G34" i="59"/>
  <c r="I34" i="59" s="1"/>
  <c r="C34" i="59"/>
  <c r="B34" i="59"/>
  <c r="R34" i="59" s="1"/>
  <c r="BC33" i="59"/>
  <c r="BB33" i="59"/>
  <c r="AY33" i="59"/>
  <c r="AX33" i="59"/>
  <c r="AW33" i="59"/>
  <c r="AR38" i="59"/>
  <c r="AO33" i="59"/>
  <c r="AS33" i="59" s="1"/>
  <c r="AK33" i="59"/>
  <c r="AJ33" i="59"/>
  <c r="AI33" i="59"/>
  <c r="L33" i="59"/>
  <c r="K33" i="59"/>
  <c r="G33" i="59"/>
  <c r="C33" i="59"/>
  <c r="E33" i="59" s="1"/>
  <c r="B33" i="59"/>
  <c r="BG29" i="59"/>
  <c r="BB29" i="59"/>
  <c r="BD29" i="59" s="1"/>
  <c r="AX29" i="59"/>
  <c r="AZ29" i="59" s="1"/>
  <c r="AW29" i="59"/>
  <c r="BE29" i="59" s="1"/>
  <c r="AO29" i="59"/>
  <c r="AS29" i="59" s="1"/>
  <c r="AK29" i="59"/>
  <c r="BM29" i="59" s="1"/>
  <c r="AI29" i="59"/>
  <c r="X29" i="59"/>
  <c r="AJ29" i="59" s="1"/>
  <c r="T29" i="59"/>
  <c r="G29" i="59"/>
  <c r="C29" i="59"/>
  <c r="E29" i="59" s="1"/>
  <c r="B29" i="59"/>
  <c r="R29" i="59" s="1"/>
  <c r="BC28" i="59"/>
  <c r="BC30" i="59" s="1"/>
  <c r="BC50" i="59" s="1"/>
  <c r="BA28" i="59"/>
  <c r="BA30" i="59" s="1"/>
  <c r="BA50" i="59" s="1"/>
  <c r="AN28" i="59"/>
  <c r="AN30" i="59" s="1"/>
  <c r="AN50" i="59" s="1"/>
  <c r="AG28" i="59"/>
  <c r="AG30" i="59" s="1"/>
  <c r="AG50" i="59" s="1"/>
  <c r="AF28" i="59"/>
  <c r="AF30" i="59" s="1"/>
  <c r="AF50" i="59" s="1"/>
  <c r="AE28" i="59"/>
  <c r="AE30" i="59" s="1"/>
  <c r="AE50" i="59" s="1"/>
  <c r="AC28" i="59"/>
  <c r="AC30" i="59" s="1"/>
  <c r="AC50" i="59" s="1"/>
  <c r="AB28" i="59"/>
  <c r="AB30" i="59" s="1"/>
  <c r="AB50" i="59" s="1"/>
  <c r="AA28" i="59"/>
  <c r="AA30" i="59" s="1"/>
  <c r="AA50" i="59" s="1"/>
  <c r="Y28" i="59"/>
  <c r="Y30" i="59" s="1"/>
  <c r="X28" i="59"/>
  <c r="W28" i="59"/>
  <c r="W30" i="59" s="1"/>
  <c r="W50" i="59" s="1"/>
  <c r="P28" i="59"/>
  <c r="P30" i="59" s="1"/>
  <c r="P50" i="59" s="1"/>
  <c r="O28" i="59"/>
  <c r="O30" i="59" s="1"/>
  <c r="O50" i="59" s="1"/>
  <c r="N28" i="59"/>
  <c r="N30" i="59" s="1"/>
  <c r="N50" i="59" s="1"/>
  <c r="L28" i="59"/>
  <c r="J28" i="59"/>
  <c r="J30" i="59" s="1"/>
  <c r="J50" i="59" s="1"/>
  <c r="H28" i="59"/>
  <c r="F28" i="59"/>
  <c r="F30" i="59" s="1"/>
  <c r="F50" i="59" s="1"/>
  <c r="BG27" i="59"/>
  <c r="BB27" i="59"/>
  <c r="BD27" i="59" s="1"/>
  <c r="AX27" i="59"/>
  <c r="AW27" i="59"/>
  <c r="BE27" i="59" s="1"/>
  <c r="AO27" i="59"/>
  <c r="AK27" i="59"/>
  <c r="BM27" i="59" s="1"/>
  <c r="AJ27" i="59"/>
  <c r="AI27" i="59"/>
  <c r="T27" i="59"/>
  <c r="K27" i="59"/>
  <c r="C27" i="59"/>
  <c r="E27" i="59" s="1"/>
  <c r="B27" i="59"/>
  <c r="R27" i="59" s="1"/>
  <c r="BG26" i="59"/>
  <c r="BB26" i="59"/>
  <c r="BD26" i="59" s="1"/>
  <c r="AX26" i="59"/>
  <c r="AW26" i="59"/>
  <c r="BE26" i="59" s="1"/>
  <c r="AO26" i="59"/>
  <c r="AS26" i="59" s="1"/>
  <c r="AK26" i="59"/>
  <c r="BM26" i="59" s="1"/>
  <c r="AJ26" i="59"/>
  <c r="AI26" i="59"/>
  <c r="T26" i="59"/>
  <c r="C26" i="59"/>
  <c r="S26" i="59" s="1"/>
  <c r="U26" i="59" s="1"/>
  <c r="B26" i="59"/>
  <c r="R26" i="59" s="1"/>
  <c r="BG25" i="59"/>
  <c r="BB25" i="59"/>
  <c r="BD25" i="59" s="1"/>
  <c r="AX25" i="59"/>
  <c r="AW25" i="59"/>
  <c r="BE25" i="59" s="1"/>
  <c r="AO25" i="59"/>
  <c r="AK25" i="59"/>
  <c r="BM25" i="59" s="1"/>
  <c r="AJ25" i="59"/>
  <c r="AI25" i="59"/>
  <c r="T25" i="59"/>
  <c r="C25" i="59"/>
  <c r="B25" i="59"/>
  <c r="R25" i="59" s="1"/>
  <c r="BG24" i="59"/>
  <c r="BB24" i="59"/>
  <c r="BD24" i="59" s="1"/>
  <c r="AX24" i="59"/>
  <c r="AW24" i="59"/>
  <c r="BE24" i="59" s="1"/>
  <c r="AO24" i="59"/>
  <c r="AK24" i="59"/>
  <c r="BM24" i="59" s="1"/>
  <c r="AJ24" i="59"/>
  <c r="AI24" i="59"/>
  <c r="T24" i="59"/>
  <c r="K24" i="59"/>
  <c r="M24" i="59" s="1"/>
  <c r="C24" i="59"/>
  <c r="E24" i="59" s="1"/>
  <c r="B24" i="59"/>
  <c r="R24" i="59" s="1"/>
  <c r="BG23" i="59"/>
  <c r="BB23" i="59"/>
  <c r="BD23" i="59" s="1"/>
  <c r="AX23" i="59"/>
  <c r="AW23" i="59"/>
  <c r="BE23" i="59" s="1"/>
  <c r="AO23" i="59"/>
  <c r="AK23" i="59"/>
  <c r="BM23" i="59" s="1"/>
  <c r="AJ23" i="59"/>
  <c r="AI23" i="59"/>
  <c r="T23" i="59"/>
  <c r="G23" i="59"/>
  <c r="C23" i="59"/>
  <c r="E23" i="59" s="1"/>
  <c r="B23" i="59"/>
  <c r="R23" i="59" s="1"/>
  <c r="BG22" i="59"/>
  <c r="BB22" i="59"/>
  <c r="BD22" i="59" s="1"/>
  <c r="AX22" i="59"/>
  <c r="AZ22" i="59" s="1"/>
  <c r="AW22" i="59"/>
  <c r="BE22" i="59" s="1"/>
  <c r="AO22" i="59"/>
  <c r="AS22" i="59" s="1"/>
  <c r="AK22" i="59"/>
  <c r="BM22" i="59" s="1"/>
  <c r="AJ22" i="59"/>
  <c r="AI22" i="59"/>
  <c r="T22" i="59"/>
  <c r="C22" i="59"/>
  <c r="S22" i="59" s="1"/>
  <c r="B22" i="59"/>
  <c r="R22" i="59" s="1"/>
  <c r="BG21" i="59"/>
  <c r="BB21" i="59"/>
  <c r="BD21" i="59" s="1"/>
  <c r="AX21" i="59"/>
  <c r="AW21" i="59"/>
  <c r="BE21" i="59" s="1"/>
  <c r="AO21" i="59"/>
  <c r="AS21" i="59" s="1"/>
  <c r="AK21" i="59"/>
  <c r="BM21" i="59" s="1"/>
  <c r="AJ21" i="59"/>
  <c r="AI21" i="59"/>
  <c r="T21" i="59"/>
  <c r="C21" i="59"/>
  <c r="E21" i="59" s="1"/>
  <c r="B21" i="59"/>
  <c r="R21" i="59" s="1"/>
  <c r="BG20" i="59"/>
  <c r="BB20" i="59"/>
  <c r="BD20" i="59" s="1"/>
  <c r="AX20" i="59"/>
  <c r="AW20" i="59"/>
  <c r="BE20" i="59" s="1"/>
  <c r="AO20" i="59"/>
  <c r="AK20" i="59"/>
  <c r="BM20" i="59" s="1"/>
  <c r="AJ20" i="59"/>
  <c r="AI20" i="59"/>
  <c r="T20" i="59"/>
  <c r="K20" i="59"/>
  <c r="M20" i="59" s="1"/>
  <c r="C20" i="59"/>
  <c r="E20" i="59" s="1"/>
  <c r="B20" i="59"/>
  <c r="R20" i="59" s="1"/>
  <c r="BB19" i="59"/>
  <c r="BD19" i="59" s="1"/>
  <c r="AY19" i="59"/>
  <c r="AX19" i="59"/>
  <c r="AW19" i="59"/>
  <c r="BE19" i="59" s="1"/>
  <c r="AO19" i="59"/>
  <c r="AK19" i="59"/>
  <c r="BM19" i="59" s="1"/>
  <c r="AJ19" i="59"/>
  <c r="AI19" i="59"/>
  <c r="T19" i="59"/>
  <c r="C19" i="59"/>
  <c r="S19" i="59" s="1"/>
  <c r="B19" i="59"/>
  <c r="R19" i="59" s="1"/>
  <c r="BG18" i="59"/>
  <c r="BB18" i="59"/>
  <c r="BD18" i="59" s="1"/>
  <c r="AX18" i="59"/>
  <c r="AW18" i="59"/>
  <c r="BE18" i="59" s="1"/>
  <c r="AO18" i="59"/>
  <c r="AS18" i="59" s="1"/>
  <c r="AK18" i="59"/>
  <c r="BM18" i="59" s="1"/>
  <c r="AJ18" i="59"/>
  <c r="AI18" i="59"/>
  <c r="T18" i="59"/>
  <c r="C18" i="59"/>
  <c r="E18" i="59" s="1"/>
  <c r="B18" i="59"/>
  <c r="R18" i="59" s="1"/>
  <c r="BG17" i="59"/>
  <c r="BB17" i="59"/>
  <c r="AX17" i="59"/>
  <c r="AZ17" i="59" s="1"/>
  <c r="AW17" i="59"/>
  <c r="BE17" i="59" s="1"/>
  <c r="AO17" i="59"/>
  <c r="AK17" i="59"/>
  <c r="BM17" i="59" s="1"/>
  <c r="AJ17" i="59"/>
  <c r="AI17" i="59"/>
  <c r="T17" i="59"/>
  <c r="C17" i="59"/>
  <c r="S17" i="59" s="1"/>
  <c r="B17" i="59"/>
  <c r="R17" i="59" s="1"/>
  <c r="BG16" i="59"/>
  <c r="BB16" i="59"/>
  <c r="BN16" i="59" s="1"/>
  <c r="AX16" i="59"/>
  <c r="AZ16" i="59" s="1"/>
  <c r="AW16" i="59"/>
  <c r="BE16" i="59" s="1"/>
  <c r="AO16" i="59"/>
  <c r="AS16" i="59" s="1"/>
  <c r="AK16" i="59"/>
  <c r="BM16" i="59" s="1"/>
  <c r="AJ16" i="59"/>
  <c r="AI16" i="59"/>
  <c r="T16" i="59"/>
  <c r="BK16" i="59" s="1"/>
  <c r="K16" i="59"/>
  <c r="C16" i="59"/>
  <c r="B16" i="59"/>
  <c r="R16" i="59" s="1"/>
  <c r="BG15" i="59"/>
  <c r="BB15" i="59"/>
  <c r="AX15" i="59"/>
  <c r="AZ15" i="59" s="1"/>
  <c r="AW15" i="59"/>
  <c r="BE15" i="59" s="1"/>
  <c r="AP15" i="59"/>
  <c r="AP28" i="59" s="1"/>
  <c r="AP30" i="59" s="1"/>
  <c r="AO15" i="59"/>
  <c r="AS15" i="59" s="1"/>
  <c r="AK15" i="59"/>
  <c r="BM15" i="59" s="1"/>
  <c r="AJ15" i="59"/>
  <c r="AI15" i="59"/>
  <c r="T15" i="59"/>
  <c r="C15" i="59"/>
  <c r="E15" i="59" s="1"/>
  <c r="B15" i="59"/>
  <c r="R15" i="59" s="1"/>
  <c r="BG14" i="59"/>
  <c r="BB14" i="59"/>
  <c r="AX14" i="59"/>
  <c r="AZ14" i="59" s="1"/>
  <c r="AW14" i="59"/>
  <c r="BE14" i="59" s="1"/>
  <c r="AO14" i="59"/>
  <c r="AK14" i="59"/>
  <c r="BM14" i="59" s="1"/>
  <c r="AJ14" i="59"/>
  <c r="AI14" i="59"/>
  <c r="T14" i="59"/>
  <c r="G14" i="59"/>
  <c r="I14" i="59" s="1"/>
  <c r="C14" i="59"/>
  <c r="B14" i="59"/>
  <c r="R14" i="59" s="1"/>
  <c r="BG13" i="59"/>
  <c r="BB13" i="59"/>
  <c r="BD13" i="59" s="1"/>
  <c r="AX13" i="59"/>
  <c r="AZ13" i="59" s="1"/>
  <c r="AW13" i="59"/>
  <c r="BE13" i="59" s="1"/>
  <c r="AK13" i="59"/>
  <c r="BM13" i="59" s="1"/>
  <c r="AJ13" i="59"/>
  <c r="AI13" i="59"/>
  <c r="T13" i="59"/>
  <c r="B13" i="59"/>
  <c r="R13" i="59" s="1"/>
  <c r="BG12" i="59"/>
  <c r="BB12" i="59"/>
  <c r="AX12" i="59"/>
  <c r="AZ12" i="59" s="1"/>
  <c r="AW12" i="59"/>
  <c r="BE12" i="59" s="1"/>
  <c r="AO12" i="59"/>
  <c r="AS12" i="59" s="1"/>
  <c r="AK12" i="59"/>
  <c r="BM12" i="59" s="1"/>
  <c r="AJ12" i="59"/>
  <c r="AI12" i="59"/>
  <c r="T12" i="59"/>
  <c r="G12" i="59"/>
  <c r="I12" i="59" s="1"/>
  <c r="C12" i="59"/>
  <c r="B12" i="59"/>
  <c r="R12" i="59" s="1"/>
  <c r="BG11" i="59"/>
  <c r="BB11" i="59"/>
  <c r="AX11" i="59"/>
  <c r="AZ11" i="59" s="1"/>
  <c r="AW11" i="59"/>
  <c r="BE11" i="59" s="1"/>
  <c r="AO11" i="59"/>
  <c r="AK11" i="59"/>
  <c r="BM11" i="59" s="1"/>
  <c r="AJ11" i="59"/>
  <c r="AI11" i="59"/>
  <c r="T11" i="59"/>
  <c r="C11" i="59"/>
  <c r="S11" i="59" s="1"/>
  <c r="B11" i="59"/>
  <c r="R11" i="59" s="1"/>
  <c r="BG10" i="59"/>
  <c r="BB10" i="59"/>
  <c r="AX10" i="59"/>
  <c r="AZ10" i="59" s="1"/>
  <c r="AW10" i="59"/>
  <c r="AR28" i="59"/>
  <c r="AR30" i="59" s="1"/>
  <c r="AR50" i="59" s="1"/>
  <c r="AK10" i="59"/>
  <c r="AK28" i="59" s="1"/>
  <c r="AJ10" i="59"/>
  <c r="AI10" i="59"/>
  <c r="D10" i="59"/>
  <c r="T10" i="59" s="1"/>
  <c r="E10" i="59"/>
  <c r="B10" i="59"/>
  <c r="S49" i="60" l="1"/>
  <c r="AS25" i="59"/>
  <c r="AU25" i="59" s="1"/>
  <c r="AS52" i="59"/>
  <c r="AU52" i="59" s="1"/>
  <c r="AS11" i="59"/>
  <c r="AU11" i="59" s="1"/>
  <c r="AS17" i="59"/>
  <c r="AU17" i="59" s="1"/>
  <c r="AQ23" i="59"/>
  <c r="AS23" i="59"/>
  <c r="AU23" i="59" s="1"/>
  <c r="AS24" i="59"/>
  <c r="AU24" i="59" s="1"/>
  <c r="AQ37" i="59"/>
  <c r="AS37" i="59"/>
  <c r="AQ53" i="59"/>
  <c r="AS53" i="59"/>
  <c r="AU53" i="59" s="1"/>
  <c r="AS14" i="59"/>
  <c r="AU14" i="59" s="1"/>
  <c r="AQ19" i="59"/>
  <c r="AS19" i="59"/>
  <c r="AU19" i="59" s="1"/>
  <c r="AS20" i="59"/>
  <c r="AU20" i="59" s="1"/>
  <c r="AQ27" i="59"/>
  <c r="AS27" i="59"/>
  <c r="AU27" i="59" s="1"/>
  <c r="AS43" i="59"/>
  <c r="AU43" i="59" s="1"/>
  <c r="Y28" i="60"/>
  <c r="BK13" i="59"/>
  <c r="AI38" i="59"/>
  <c r="AR49" i="59"/>
  <c r="J49" i="59"/>
  <c r="J51" i="59" s="1"/>
  <c r="J54" i="59" s="1"/>
  <c r="J57" i="59" s="1"/>
  <c r="AI28" i="59"/>
  <c r="AI30" i="59" s="1"/>
  <c r="AI50" i="59" s="1"/>
  <c r="AU18" i="59"/>
  <c r="BK24" i="59"/>
  <c r="H49" i="59"/>
  <c r="W49" i="59"/>
  <c r="AC49" i="59"/>
  <c r="BK18" i="59"/>
  <c r="BK20" i="59"/>
  <c r="BK11" i="59"/>
  <c r="AU12" i="59"/>
  <c r="AU13" i="59"/>
  <c r="U22" i="59"/>
  <c r="AL29" i="59"/>
  <c r="BK34" i="59"/>
  <c r="BK35" i="59"/>
  <c r="N49" i="59"/>
  <c r="N51" i="59" s="1"/>
  <c r="N54" i="59" s="1"/>
  <c r="N57" i="59" s="1"/>
  <c r="BK40" i="59"/>
  <c r="BK53" i="59"/>
  <c r="B48" i="59"/>
  <c r="X19" i="60"/>
  <c r="Z19" i="60" s="1"/>
  <c r="R43" i="59"/>
  <c r="R44" i="59" s="1"/>
  <c r="AP14" i="60"/>
  <c r="AR14" i="60" s="1"/>
  <c r="BI20" i="59"/>
  <c r="W12" i="60"/>
  <c r="AS12" i="60" s="1"/>
  <c r="AW12" i="60" s="1"/>
  <c r="W15" i="60"/>
  <c r="AS15" i="60" s="1"/>
  <c r="AW15" i="60" s="1"/>
  <c r="BI13" i="59"/>
  <c r="AW48" i="59"/>
  <c r="F48" i="60"/>
  <c r="BN46" i="59"/>
  <c r="W47" i="60"/>
  <c r="AS47" i="60" s="1"/>
  <c r="AW47" i="60" s="1"/>
  <c r="S12" i="59"/>
  <c r="U12" i="59" s="1"/>
  <c r="S47" i="59"/>
  <c r="U47" i="59" s="1"/>
  <c r="AP53" i="60"/>
  <c r="AR53" i="60" s="1"/>
  <c r="BI21" i="59"/>
  <c r="BN26" i="59"/>
  <c r="Z29" i="59"/>
  <c r="AX48" i="59"/>
  <c r="AZ48" i="59" s="1"/>
  <c r="W16" i="60"/>
  <c r="AS16" i="60" s="1"/>
  <c r="AW16" i="60" s="1"/>
  <c r="AP11" i="60"/>
  <c r="AR11" i="60" s="1"/>
  <c r="W14" i="60"/>
  <c r="AS14" i="60" s="1"/>
  <c r="AW14" i="60" s="1"/>
  <c r="W21" i="60"/>
  <c r="AS21" i="60" s="1"/>
  <c r="AW21" i="60" s="1"/>
  <c r="W35" i="60"/>
  <c r="BF24" i="59"/>
  <c r="BH24" i="59" s="1"/>
  <c r="BI26" i="59"/>
  <c r="BN27" i="59"/>
  <c r="BF43" i="59"/>
  <c r="BF44" i="59" s="1"/>
  <c r="AP22" i="60"/>
  <c r="AW38" i="59"/>
  <c r="R35" i="59"/>
  <c r="BE53" i="59"/>
  <c r="AP18" i="60"/>
  <c r="AR18" i="60" s="1"/>
  <c r="E19" i="60"/>
  <c r="AP25" i="60"/>
  <c r="AR25" i="60" s="1"/>
  <c r="J48" i="60"/>
  <c r="E17" i="59"/>
  <c r="BI23" i="59"/>
  <c r="BI34" i="59"/>
  <c r="BI53" i="59"/>
  <c r="E11" i="59"/>
  <c r="AW28" i="59"/>
  <c r="AW30" i="59" s="1"/>
  <c r="AW50" i="59" s="1"/>
  <c r="AQ20" i="59"/>
  <c r="BI27" i="59"/>
  <c r="X30" i="59"/>
  <c r="X50" i="59" s="1"/>
  <c r="S37" i="59"/>
  <c r="U37" i="59" s="1"/>
  <c r="B44" i="59"/>
  <c r="F28" i="60"/>
  <c r="F30" i="60" s="1"/>
  <c r="F50" i="60" s="1"/>
  <c r="X23" i="60"/>
  <c r="Z23" i="60" s="1"/>
  <c r="J38" i="60"/>
  <c r="BI12" i="59"/>
  <c r="BI14" i="59"/>
  <c r="BI25" i="59"/>
  <c r="BI47" i="59"/>
  <c r="BI11" i="59"/>
  <c r="AQ11" i="59"/>
  <c r="BI16" i="59"/>
  <c r="BF22" i="59"/>
  <c r="BH22" i="59" s="1"/>
  <c r="BF29" i="59"/>
  <c r="E37" i="59"/>
  <c r="Z37" i="59"/>
  <c r="X38" i="59"/>
  <c r="E40" i="59"/>
  <c r="C41" i="59"/>
  <c r="AQ43" i="59"/>
  <c r="W13" i="60"/>
  <c r="AS13" i="60" s="1"/>
  <c r="AW13" i="60" s="1"/>
  <c r="X16" i="60"/>
  <c r="Z16" i="60" s="1"/>
  <c r="AP16" i="60"/>
  <c r="AR16" i="60" s="1"/>
  <c r="X21" i="60"/>
  <c r="Z21" i="60" s="1"/>
  <c r="AE25" i="60"/>
  <c r="X26" i="60"/>
  <c r="Z26" i="60" s="1"/>
  <c r="AE34" i="60"/>
  <c r="W37" i="60"/>
  <c r="AS37" i="60" s="1"/>
  <c r="AW37" i="60" s="1"/>
  <c r="W40" i="60"/>
  <c r="W41" i="60" s="1"/>
  <c r="AO43" i="60"/>
  <c r="AO44" i="60" s="1"/>
  <c r="X46" i="60"/>
  <c r="Z46" i="60" s="1"/>
  <c r="AE53" i="60"/>
  <c r="B28" i="59"/>
  <c r="B30" i="59" s="1"/>
  <c r="B50" i="59" s="1"/>
  <c r="AQ14" i="59"/>
  <c r="BF16" i="59"/>
  <c r="BH16" i="59" s="1"/>
  <c r="AU33" i="59"/>
  <c r="BB44" i="59"/>
  <c r="BD44" i="59" s="1"/>
  <c r="AZ46" i="59"/>
  <c r="BF46" i="59"/>
  <c r="E47" i="59"/>
  <c r="W11" i="60"/>
  <c r="AS11" i="60" s="1"/>
  <c r="AW11" i="60" s="1"/>
  <c r="AE13" i="60"/>
  <c r="X14" i="60"/>
  <c r="Z14" i="60" s="1"/>
  <c r="W17" i="60"/>
  <c r="AS17" i="60" s="1"/>
  <c r="AW17" i="60" s="1"/>
  <c r="W19" i="60"/>
  <c r="AS19" i="60" s="1"/>
  <c r="AW19" i="60" s="1"/>
  <c r="AP20" i="60"/>
  <c r="AR20" i="60" s="1"/>
  <c r="E21" i="60"/>
  <c r="W23" i="60"/>
  <c r="AS23" i="60" s="1"/>
  <c r="AW23" i="60" s="1"/>
  <c r="AP24" i="60"/>
  <c r="AR24" i="60" s="1"/>
  <c r="W27" i="60"/>
  <c r="AS27" i="60" s="1"/>
  <c r="AW27" i="60" s="1"/>
  <c r="X27" i="60"/>
  <c r="Z27" i="60" s="1"/>
  <c r="F38" i="60"/>
  <c r="W36" i="60"/>
  <c r="AS36" i="60" s="1"/>
  <c r="AW36" i="60" s="1"/>
  <c r="AI44" i="60"/>
  <c r="BI29" i="59"/>
  <c r="BN34" i="59"/>
  <c r="BE10" i="59"/>
  <c r="BE28" i="59" s="1"/>
  <c r="BE30" i="59" s="1"/>
  <c r="BE50" i="59" s="1"/>
  <c r="BI15" i="59"/>
  <c r="BI19" i="59"/>
  <c r="BI22" i="59"/>
  <c r="AQ25" i="59"/>
  <c r="E26" i="59"/>
  <c r="BF34" i="59"/>
  <c r="BH34" i="59" s="1"/>
  <c r="BI36" i="59"/>
  <c r="BI37" i="59"/>
  <c r="AU37" i="59"/>
  <c r="F49" i="59"/>
  <c r="F51" i="59" s="1"/>
  <c r="F54" i="59" s="1"/>
  <c r="F57" i="59" s="1"/>
  <c r="BE43" i="59"/>
  <c r="BE44" i="59" s="1"/>
  <c r="R46" i="59"/>
  <c r="R48" i="59" s="1"/>
  <c r="AQ52" i="59"/>
  <c r="X13" i="60"/>
  <c r="Z13" i="60" s="1"/>
  <c r="B38" i="60"/>
  <c r="B41" i="60"/>
  <c r="AO46" i="60"/>
  <c r="AO48" i="60" s="1"/>
  <c r="AQ15" i="59"/>
  <c r="X24" i="60"/>
  <c r="E24" i="60"/>
  <c r="BN35" i="59"/>
  <c r="BN12" i="59"/>
  <c r="S13" i="59"/>
  <c r="U13" i="59" s="1"/>
  <c r="E13" i="59"/>
  <c r="BN17" i="59"/>
  <c r="S18" i="59"/>
  <c r="U18" i="59" s="1"/>
  <c r="BN23" i="59"/>
  <c r="AZ34" i="59"/>
  <c r="AB44" i="59"/>
  <c r="AD44" i="59" s="1"/>
  <c r="AJ43" i="59"/>
  <c r="AL43" i="59" s="1"/>
  <c r="AD43" i="59"/>
  <c r="I37" i="60"/>
  <c r="X37" i="60"/>
  <c r="Z37" i="60" s="1"/>
  <c r="K48" i="60"/>
  <c r="M48" i="60" s="1"/>
  <c r="X53" i="60"/>
  <c r="E53" i="60"/>
  <c r="BN18" i="59"/>
  <c r="AX44" i="59"/>
  <c r="AZ44" i="59" s="1"/>
  <c r="X20" i="60"/>
  <c r="Z20" i="60" s="1"/>
  <c r="E20" i="60"/>
  <c r="AU10" i="59"/>
  <c r="AQ10" i="59"/>
  <c r="K28" i="59"/>
  <c r="K30" i="59" s="1"/>
  <c r="K50" i="59" s="1"/>
  <c r="S24" i="59"/>
  <c r="U24" i="59" s="1"/>
  <c r="BH29" i="59"/>
  <c r="AQ36" i="59"/>
  <c r="AU36" i="59"/>
  <c r="BF40" i="59"/>
  <c r="AX41" i="59"/>
  <c r="AZ41" i="59" s="1"/>
  <c r="AZ40" i="59"/>
  <c r="X18" i="60"/>
  <c r="E18" i="60"/>
  <c r="X22" i="60"/>
  <c r="E22" i="60"/>
  <c r="X29" i="60"/>
  <c r="Z29" i="60" s="1"/>
  <c r="E29" i="60"/>
  <c r="AI52" i="60"/>
  <c r="AP52" i="60"/>
  <c r="AR52" i="60" s="1"/>
  <c r="AQ21" i="59"/>
  <c r="AU21" i="59"/>
  <c r="BB28" i="59"/>
  <c r="BD28" i="59" s="1"/>
  <c r="AQ13" i="59"/>
  <c r="M16" i="59"/>
  <c r="BD16" i="59"/>
  <c r="AQ24" i="59"/>
  <c r="BN25" i="59"/>
  <c r="BF26" i="59"/>
  <c r="BH26" i="59" s="1"/>
  <c r="AJ47" i="59"/>
  <c r="AL47" i="59" s="1"/>
  <c r="X48" i="59"/>
  <c r="Z48" i="59" s="1"/>
  <c r="Z47" i="59"/>
  <c r="S53" i="59"/>
  <c r="U53" i="59" s="1"/>
  <c r="BF11" i="59"/>
  <c r="BH11" i="59" s="1"/>
  <c r="BN13" i="59"/>
  <c r="BN15" i="59"/>
  <c r="BN21" i="59"/>
  <c r="BN24" i="59"/>
  <c r="AJ38" i="59"/>
  <c r="AZ33" i="59"/>
  <c r="S34" i="59"/>
  <c r="U34" i="59" s="1"/>
  <c r="AU35" i="59"/>
  <c r="AQ35" i="59"/>
  <c r="BF35" i="59"/>
  <c r="BH35" i="59" s="1"/>
  <c r="BN36" i="59"/>
  <c r="BF47" i="59"/>
  <c r="BH47" i="59" s="1"/>
  <c r="X11" i="60"/>
  <c r="AP15" i="60"/>
  <c r="AR15" i="60" s="1"/>
  <c r="AP19" i="60"/>
  <c r="AT19" i="60" s="1"/>
  <c r="AX19" i="60" s="1"/>
  <c r="AP21" i="60"/>
  <c r="AR21" i="60" s="1"/>
  <c r="AP23" i="60"/>
  <c r="AP26" i="60"/>
  <c r="AR26" i="60" s="1"/>
  <c r="AP36" i="60"/>
  <c r="AR36" i="60" s="1"/>
  <c r="AE36" i="60"/>
  <c r="C44" i="60"/>
  <c r="E44" i="60" s="1"/>
  <c r="X43" i="60"/>
  <c r="Z43" i="60" s="1"/>
  <c r="BD11" i="59"/>
  <c r="G28" i="59"/>
  <c r="G30" i="59" s="1"/>
  <c r="G50" i="59" s="1"/>
  <c r="AQ12" i="59"/>
  <c r="BF13" i="59"/>
  <c r="BH13" i="59" s="1"/>
  <c r="S14" i="59"/>
  <c r="U14" i="59" s="1"/>
  <c r="S15" i="59"/>
  <c r="BF15" i="59"/>
  <c r="BH15" i="59" s="1"/>
  <c r="S16" i="59"/>
  <c r="U16" i="59" s="1"/>
  <c r="AQ17" i="59"/>
  <c r="AQ18" i="59"/>
  <c r="BF18" i="59"/>
  <c r="BH18" i="59" s="1"/>
  <c r="BN19" i="59"/>
  <c r="BF19" i="59"/>
  <c r="S21" i="59"/>
  <c r="U21" i="59" s="1"/>
  <c r="E22" i="59"/>
  <c r="AZ26" i="59"/>
  <c r="K38" i="59"/>
  <c r="K49" i="59" s="1"/>
  <c r="BB38" i="59"/>
  <c r="C44" i="59"/>
  <c r="E44" i="59" s="1"/>
  <c r="E43" i="59"/>
  <c r="BF52" i="59"/>
  <c r="BH52" i="59" s="1"/>
  <c r="AJ53" i="59"/>
  <c r="BN53" i="59" s="1"/>
  <c r="Z53" i="59"/>
  <c r="X25" i="60"/>
  <c r="Z25" i="60" s="1"/>
  <c r="AP27" i="60"/>
  <c r="AP17" i="60"/>
  <c r="AR17" i="60" s="1"/>
  <c r="AR22" i="60"/>
  <c r="AP29" i="60"/>
  <c r="AR29" i="60" s="1"/>
  <c r="G38" i="60"/>
  <c r="I38" i="60" s="1"/>
  <c r="AP35" i="60"/>
  <c r="AR35" i="60" s="1"/>
  <c r="AP37" i="60"/>
  <c r="AR37" i="60" s="1"/>
  <c r="AP40" i="60"/>
  <c r="AP41" i="60" s="1"/>
  <c r="AR41" i="60" s="1"/>
  <c r="AE41" i="60"/>
  <c r="C48" i="60"/>
  <c r="E48" i="60" s="1"/>
  <c r="X52" i="60"/>
  <c r="C38" i="59"/>
  <c r="E38" i="59" s="1"/>
  <c r="AO38" i="59"/>
  <c r="AQ38" i="59" s="1"/>
  <c r="AO48" i="59"/>
  <c r="AQ48" i="59" s="1"/>
  <c r="BB48" i="59"/>
  <c r="BD48" i="59" s="1"/>
  <c r="K28" i="60"/>
  <c r="K30" i="60" s="1"/>
  <c r="K50" i="60" s="1"/>
  <c r="AG28" i="60"/>
  <c r="AG30" i="60" s="1"/>
  <c r="AG50" i="60" s="1"/>
  <c r="X12" i="60"/>
  <c r="Z12" i="60" s="1"/>
  <c r="AP12" i="60"/>
  <c r="AR12" i="60" s="1"/>
  <c r="X15" i="60"/>
  <c r="E16" i="60"/>
  <c r="AE17" i="60"/>
  <c r="T30" i="60"/>
  <c r="T50" i="60" s="1"/>
  <c r="C38" i="60"/>
  <c r="E38" i="60" s="1"/>
  <c r="AC38" i="60"/>
  <c r="AE38" i="60" s="1"/>
  <c r="X40" i="60"/>
  <c r="Z40" i="60" s="1"/>
  <c r="V40" i="60"/>
  <c r="AE40" i="60"/>
  <c r="G48" i="60"/>
  <c r="I48" i="60" s="1"/>
  <c r="E52" i="60"/>
  <c r="AY14" i="60"/>
  <c r="AY15" i="60"/>
  <c r="AY16" i="60"/>
  <c r="AY11" i="60"/>
  <c r="AY13" i="60"/>
  <c r="AU12" i="60"/>
  <c r="AY33" i="60"/>
  <c r="AY35" i="60"/>
  <c r="B28" i="60"/>
  <c r="B30" i="60" s="1"/>
  <c r="B50" i="60" s="1"/>
  <c r="G28" i="60"/>
  <c r="G30" i="60" s="1"/>
  <c r="G50" i="60" s="1"/>
  <c r="M10" i="60"/>
  <c r="AI10" i="60"/>
  <c r="M11" i="60"/>
  <c r="AI11" i="60"/>
  <c r="M12" i="60"/>
  <c r="AI12" i="60"/>
  <c r="M13" i="60"/>
  <c r="E14" i="60"/>
  <c r="AE14" i="60"/>
  <c r="E15" i="60"/>
  <c r="AE15" i="60"/>
  <c r="X17" i="60"/>
  <c r="W18" i="60"/>
  <c r="AS18" i="60" s="1"/>
  <c r="AW18" i="60" s="1"/>
  <c r="W20" i="60"/>
  <c r="AS20" i="60" s="1"/>
  <c r="AW20" i="60" s="1"/>
  <c r="W22" i="60"/>
  <c r="AS22" i="60" s="1"/>
  <c r="AW22" i="60" s="1"/>
  <c r="W24" i="60"/>
  <c r="AS24" i="60" s="1"/>
  <c r="AW24" i="60" s="1"/>
  <c r="W26" i="60"/>
  <c r="AS26" i="60" s="1"/>
  <c r="AW26" i="60" s="1"/>
  <c r="D28" i="60"/>
  <c r="W29" i="60"/>
  <c r="AS29" i="60" s="1"/>
  <c r="AW29" i="60" s="1"/>
  <c r="AQ38" i="60"/>
  <c r="C28" i="60"/>
  <c r="C30" i="60" s="1"/>
  <c r="C50" i="60" s="1"/>
  <c r="W10" i="60"/>
  <c r="AC28" i="60"/>
  <c r="AC30" i="60" s="1"/>
  <c r="AC50" i="60" s="1"/>
  <c r="AO28" i="60"/>
  <c r="AO30" i="60" s="1"/>
  <c r="AO50" i="60" s="1"/>
  <c r="AE16" i="60"/>
  <c r="AU17" i="60"/>
  <c r="H30" i="60"/>
  <c r="L49" i="60"/>
  <c r="AK51" i="60"/>
  <c r="AK54" i="60" s="1"/>
  <c r="AK57" i="60" s="1"/>
  <c r="Y30" i="60"/>
  <c r="AU10" i="60"/>
  <c r="AD51" i="60"/>
  <c r="J28" i="60"/>
  <c r="J30" i="60" s="1"/>
  <c r="J50" i="60" s="1"/>
  <c r="X10" i="60"/>
  <c r="AP10" i="60"/>
  <c r="W25" i="60"/>
  <c r="AS25" i="60" s="1"/>
  <c r="AW25" i="60" s="1"/>
  <c r="L30" i="60"/>
  <c r="AQ30" i="60"/>
  <c r="AC44" i="60"/>
  <c r="AP43" i="60"/>
  <c r="AP44" i="60" s="1"/>
  <c r="AR44" i="60" s="1"/>
  <c r="AE43" i="60"/>
  <c r="AU18" i="60"/>
  <c r="AU19" i="60"/>
  <c r="AU20" i="60"/>
  <c r="AU21" i="60"/>
  <c r="AU22" i="60"/>
  <c r="AU23" i="60"/>
  <c r="AU24" i="60"/>
  <c r="AU25" i="60"/>
  <c r="AU26" i="60"/>
  <c r="AU27" i="60"/>
  <c r="X34" i="60"/>
  <c r="AT34" i="60" s="1"/>
  <c r="M34" i="60"/>
  <c r="T38" i="60"/>
  <c r="V35" i="60"/>
  <c r="AO35" i="60"/>
  <c r="AF38" i="60"/>
  <c r="AF49" i="60" s="1"/>
  <c r="AF51" i="60" s="1"/>
  <c r="AF54" i="60" s="1"/>
  <c r="AF57" i="60" s="1"/>
  <c r="AL51" i="60"/>
  <c r="AL54" i="60" s="1"/>
  <c r="AL57" i="60" s="1"/>
  <c r="K41" i="60"/>
  <c r="M41" i="60" s="1"/>
  <c r="M40" i="60"/>
  <c r="AU41" i="60"/>
  <c r="AY40" i="60"/>
  <c r="AD50" i="60"/>
  <c r="AH50" i="60"/>
  <c r="K38" i="60"/>
  <c r="M33" i="60"/>
  <c r="AP33" i="60"/>
  <c r="AG38" i="60"/>
  <c r="AI33" i="60"/>
  <c r="X35" i="60"/>
  <c r="E35" i="60"/>
  <c r="AJ51" i="60"/>
  <c r="AJ54" i="60" s="1"/>
  <c r="AJ57" i="60" s="1"/>
  <c r="X36" i="60"/>
  <c r="AT36" i="60" s="1"/>
  <c r="M36" i="60"/>
  <c r="S51" i="60"/>
  <c r="S54" i="60" s="1"/>
  <c r="S57" i="60" s="1"/>
  <c r="D49" i="60"/>
  <c r="W43" i="60"/>
  <c r="U50" i="60"/>
  <c r="U51" i="60" s="1"/>
  <c r="Y38" i="60"/>
  <c r="W34" i="60"/>
  <c r="AS34" i="60" s="1"/>
  <c r="AW34" i="60" s="1"/>
  <c r="H49" i="60"/>
  <c r="Q51" i="60"/>
  <c r="Q54" i="60" s="1"/>
  <c r="Q57" i="60" s="1"/>
  <c r="AC48" i="60"/>
  <c r="AE48" i="60" s="1"/>
  <c r="AP46" i="60"/>
  <c r="AR46" i="60" s="1"/>
  <c r="AE46" i="60"/>
  <c r="AU37" i="60"/>
  <c r="AU38" i="60" s="1"/>
  <c r="AB49" i="60"/>
  <c r="AB51" i="60" s="1"/>
  <c r="AB54" i="60" s="1"/>
  <c r="AB57" i="60" s="1"/>
  <c r="AO40" i="60"/>
  <c r="AO41" i="60" s="1"/>
  <c r="C41" i="60"/>
  <c r="E41" i="60" s="1"/>
  <c r="G41" i="60"/>
  <c r="I41" i="60" s="1"/>
  <c r="Y41" i="60"/>
  <c r="W33" i="60"/>
  <c r="O49" i="60"/>
  <c r="O51" i="60" s="1"/>
  <c r="O54" i="60" s="1"/>
  <c r="O57" i="60" s="1"/>
  <c r="M43" i="60"/>
  <c r="AU43" i="60"/>
  <c r="B44" i="60"/>
  <c r="AU52" i="60"/>
  <c r="X33" i="60"/>
  <c r="Z33" i="60" s="1"/>
  <c r="I43" i="60"/>
  <c r="AI43" i="60"/>
  <c r="X47" i="60"/>
  <c r="E47" i="60"/>
  <c r="AP47" i="60"/>
  <c r="AR47" i="60" s="1"/>
  <c r="AE47" i="60"/>
  <c r="W52" i="60"/>
  <c r="AS52" i="60" s="1"/>
  <c r="AW52" i="60" s="1"/>
  <c r="W53" i="60"/>
  <c r="AS53" i="60" s="1"/>
  <c r="AW53" i="60" s="1"/>
  <c r="AU46" i="60"/>
  <c r="AU47" i="60"/>
  <c r="AG48" i="60"/>
  <c r="AI48" i="60" s="1"/>
  <c r="AQ48" i="60"/>
  <c r="W46" i="60"/>
  <c r="U17" i="59"/>
  <c r="BI18" i="59"/>
  <c r="T28" i="59"/>
  <c r="BK10" i="59"/>
  <c r="AK30" i="59"/>
  <c r="BM28" i="59"/>
  <c r="AU16" i="59"/>
  <c r="BI17" i="59"/>
  <c r="U19" i="59"/>
  <c r="R10" i="59"/>
  <c r="BK12" i="59"/>
  <c r="BK14" i="59"/>
  <c r="BK17" i="59"/>
  <c r="S20" i="59"/>
  <c r="U20" i="59" s="1"/>
  <c r="BK27" i="59"/>
  <c r="Y50" i="59"/>
  <c r="BK29" i="59"/>
  <c r="L38" i="59"/>
  <c r="M33" i="59"/>
  <c r="C28" i="59"/>
  <c r="C30" i="59" s="1"/>
  <c r="C50" i="59" s="1"/>
  <c r="S10" i="59"/>
  <c r="U10" i="59" s="1"/>
  <c r="AJ28" i="59"/>
  <c r="AJ30" i="59" s="1"/>
  <c r="AJ50" i="59" s="1"/>
  <c r="BD10" i="59"/>
  <c r="E12" i="59"/>
  <c r="BD12" i="59"/>
  <c r="E14" i="59"/>
  <c r="BD14" i="59"/>
  <c r="BD15" i="59"/>
  <c r="AQ16" i="59"/>
  <c r="BD17" i="59"/>
  <c r="E19" i="59"/>
  <c r="AY28" i="59"/>
  <c r="BG19" i="59"/>
  <c r="BK21" i="59"/>
  <c r="BK22" i="59"/>
  <c r="S23" i="59"/>
  <c r="I23" i="59"/>
  <c r="BK25" i="59"/>
  <c r="BK26" i="59"/>
  <c r="D28" i="59"/>
  <c r="L30" i="59"/>
  <c r="T33" i="59"/>
  <c r="BC38" i="59"/>
  <c r="BD33" i="59"/>
  <c r="AQ34" i="59"/>
  <c r="BK41" i="59"/>
  <c r="BA48" i="59"/>
  <c r="BE46" i="59"/>
  <c r="BE48" i="59" s="1"/>
  <c r="BG28" i="59"/>
  <c r="S25" i="59"/>
  <c r="U25" i="59" s="1"/>
  <c r="E25" i="59"/>
  <c r="AP50" i="59"/>
  <c r="AK38" i="59"/>
  <c r="AK49" i="59" s="1"/>
  <c r="BM33" i="59"/>
  <c r="AP51" i="59"/>
  <c r="BK47" i="59"/>
  <c r="AX28" i="59"/>
  <c r="AX30" i="59" s="1"/>
  <c r="AX50" i="59" s="1"/>
  <c r="BM10" i="59"/>
  <c r="U11" i="59"/>
  <c r="E16" i="59"/>
  <c r="AZ18" i="59"/>
  <c r="AZ19" i="59"/>
  <c r="BF21" i="59"/>
  <c r="BH21" i="59" s="1"/>
  <c r="AZ21" i="59"/>
  <c r="AQ22" i="59"/>
  <c r="BK23" i="59"/>
  <c r="BI24" i="59"/>
  <c r="AU26" i="59"/>
  <c r="AQ26" i="59"/>
  <c r="S27" i="59"/>
  <c r="M27" i="59"/>
  <c r="BF27" i="59"/>
  <c r="BH27" i="59" s="1"/>
  <c r="AZ27" i="59"/>
  <c r="AX38" i="59"/>
  <c r="BF33" i="59"/>
  <c r="BG33" i="59"/>
  <c r="W51" i="59"/>
  <c r="W54" i="59" s="1"/>
  <c r="W57" i="59" s="1"/>
  <c r="BK19" i="59"/>
  <c r="AO28" i="59"/>
  <c r="AO30" i="59" s="1"/>
  <c r="AO50" i="59" s="1"/>
  <c r="AT28" i="59"/>
  <c r="BF10" i="59"/>
  <c r="BF12" i="59"/>
  <c r="BF14" i="59"/>
  <c r="BH14" i="59" s="1"/>
  <c r="BF17" i="59"/>
  <c r="BN20" i="59"/>
  <c r="BF20" i="59"/>
  <c r="BH20" i="59" s="1"/>
  <c r="BF23" i="59"/>
  <c r="BH23" i="59" s="1"/>
  <c r="AZ23" i="59"/>
  <c r="BF25" i="59"/>
  <c r="BH25" i="59" s="1"/>
  <c r="AZ25" i="59"/>
  <c r="H30" i="59"/>
  <c r="S29" i="59"/>
  <c r="I29" i="59"/>
  <c r="AU29" i="59"/>
  <c r="AQ29" i="59"/>
  <c r="B38" i="59"/>
  <c r="BK52" i="59"/>
  <c r="G38" i="59"/>
  <c r="I38" i="59" s="1"/>
  <c r="BK36" i="59"/>
  <c r="BN37" i="59"/>
  <c r="AL37" i="59"/>
  <c r="AC51" i="59"/>
  <c r="AY38" i="59"/>
  <c r="AS41" i="59"/>
  <c r="AO41" i="59"/>
  <c r="AQ41" i="59" s="1"/>
  <c r="AQ40" i="59"/>
  <c r="BG44" i="59"/>
  <c r="C48" i="59"/>
  <c r="E48" i="59" s="1"/>
  <c r="S46" i="59"/>
  <c r="E46" i="59"/>
  <c r="AQ47" i="59"/>
  <c r="AZ20" i="59"/>
  <c r="AZ24" i="59"/>
  <c r="I33" i="59"/>
  <c r="R33" i="59"/>
  <c r="AQ33" i="59"/>
  <c r="BE33" i="59"/>
  <c r="E34" i="59"/>
  <c r="S35" i="59"/>
  <c r="S36" i="59"/>
  <c r="U36" i="59" s="1"/>
  <c r="BF37" i="59"/>
  <c r="BH37" i="59" s="1"/>
  <c r="BK37" i="59"/>
  <c r="S41" i="59"/>
  <c r="BK43" i="59"/>
  <c r="AF51" i="59"/>
  <c r="AF54" i="59" s="1"/>
  <c r="AF57" i="59" s="1"/>
  <c r="K51" i="59"/>
  <c r="K54" i="59" s="1"/>
  <c r="K57" i="59" s="1"/>
  <c r="S33" i="59"/>
  <c r="AR51" i="59"/>
  <c r="BN33" i="59"/>
  <c r="BE35" i="59"/>
  <c r="BA38" i="59"/>
  <c r="BF36" i="59"/>
  <c r="BH36" i="59" s="1"/>
  <c r="AZ36" i="59"/>
  <c r="AT41" i="59"/>
  <c r="AI43" i="59"/>
  <c r="AI44" i="59" s="1"/>
  <c r="AI49" i="59" s="1"/>
  <c r="AI51" i="59" s="1"/>
  <c r="AI54" i="59" s="1"/>
  <c r="AI57" i="59" s="1"/>
  <c r="AA44" i="59"/>
  <c r="AA49" i="59" s="1"/>
  <c r="AA51" i="59" s="1"/>
  <c r="AA54" i="59" s="1"/>
  <c r="AA57" i="59" s="1"/>
  <c r="O49" i="59"/>
  <c r="O51" i="59" s="1"/>
  <c r="O54" i="59" s="1"/>
  <c r="O57" i="59" s="1"/>
  <c r="Y49" i="59"/>
  <c r="AE51" i="59"/>
  <c r="AE54" i="59" s="1"/>
  <c r="AE57" i="59" s="1"/>
  <c r="R40" i="59"/>
  <c r="BE40" i="59"/>
  <c r="BE41" i="59" s="1"/>
  <c r="BM40" i="59"/>
  <c r="S43" i="59"/>
  <c r="U43" i="59" s="1"/>
  <c r="G44" i="59"/>
  <c r="I44" i="59" s="1"/>
  <c r="AO44" i="59"/>
  <c r="AQ44" i="59" s="1"/>
  <c r="BK46" i="59"/>
  <c r="T48" i="59"/>
  <c r="BI52" i="59"/>
  <c r="P51" i="59"/>
  <c r="P54" i="59" s="1"/>
  <c r="BN40" i="59"/>
  <c r="T41" i="59"/>
  <c r="BM43" i="59"/>
  <c r="G48" i="59"/>
  <c r="I48" i="59" s="1"/>
  <c r="BN52" i="59"/>
  <c r="BD52" i="59"/>
  <c r="BF53" i="59"/>
  <c r="BH53" i="59" s="1"/>
  <c r="AZ53" i="59"/>
  <c r="AZ37" i="59"/>
  <c r="AG49" i="59"/>
  <c r="AG51" i="59" s="1"/>
  <c r="AG54" i="59" s="1"/>
  <c r="AG57" i="59" s="1"/>
  <c r="AN49" i="59"/>
  <c r="AN51" i="59" s="1"/>
  <c r="AN54" i="59" s="1"/>
  <c r="AN57" i="59" s="1"/>
  <c r="AZ43" i="59"/>
  <c r="BM46" i="59"/>
  <c r="S52" i="59"/>
  <c r="BN10" i="59"/>
  <c r="BN14" i="59"/>
  <c r="BN11" i="59"/>
  <c r="D14" i="45"/>
  <c r="G32" i="50"/>
  <c r="G40" i="50"/>
  <c r="G44" i="50"/>
  <c r="G89" i="49"/>
  <c r="G25" i="49"/>
  <c r="F54" i="31"/>
  <c r="F49" i="60" l="1"/>
  <c r="AT22" i="60"/>
  <c r="AX22" i="60" s="1"/>
  <c r="Z30" i="59"/>
  <c r="AS44" i="59"/>
  <c r="AU44" i="59" s="1"/>
  <c r="BJ12" i="59"/>
  <c r="BL12" i="59" s="1"/>
  <c r="BB30" i="59"/>
  <c r="BB50" i="59" s="1"/>
  <c r="BD50" i="59" s="1"/>
  <c r="AT11" i="60"/>
  <c r="AW49" i="59"/>
  <c r="AW51" i="59" s="1"/>
  <c r="AW54" i="59" s="1"/>
  <c r="AW57" i="59" s="1"/>
  <c r="BJ17" i="59"/>
  <c r="BL17" i="59" s="1"/>
  <c r="X44" i="60"/>
  <c r="Z44" i="60" s="1"/>
  <c r="AR54" i="59"/>
  <c r="AR57" i="59" s="1"/>
  <c r="Z22" i="60"/>
  <c r="AT13" i="60"/>
  <c r="AX13" i="60" s="1"/>
  <c r="AB49" i="59"/>
  <c r="AD49" i="59" s="1"/>
  <c r="AT15" i="60"/>
  <c r="AV15" i="60" s="1"/>
  <c r="BH43" i="59"/>
  <c r="AT14" i="60"/>
  <c r="AV14" i="60" s="1"/>
  <c r="AS35" i="60"/>
  <c r="AW35" i="60" s="1"/>
  <c r="AE28" i="60"/>
  <c r="X49" i="59"/>
  <c r="X51" i="59" s="1"/>
  <c r="X54" i="59" s="1"/>
  <c r="X57" i="59" s="1"/>
  <c r="F51" i="60"/>
  <c r="F54" i="60" s="1"/>
  <c r="F57" i="60" s="1"/>
  <c r="J49" i="60"/>
  <c r="BJ34" i="59"/>
  <c r="BL34" i="59" s="1"/>
  <c r="BH44" i="59"/>
  <c r="BJ22" i="59"/>
  <c r="BL22" i="59" s="1"/>
  <c r="BH19" i="59"/>
  <c r="AE30" i="60"/>
  <c r="M28" i="60"/>
  <c r="AT35" i="60"/>
  <c r="AV35" i="60" s="1"/>
  <c r="AT53" i="60"/>
  <c r="AX53" i="60" s="1"/>
  <c r="AT24" i="60"/>
  <c r="AX24" i="60" s="1"/>
  <c r="BF48" i="59"/>
  <c r="BH48" i="59" s="1"/>
  <c r="I28" i="59"/>
  <c r="Z34" i="60"/>
  <c r="AP38" i="60"/>
  <c r="AR38" i="60" s="1"/>
  <c r="BH46" i="59"/>
  <c r="AT17" i="60"/>
  <c r="AX17" i="60" s="1"/>
  <c r="Z15" i="60"/>
  <c r="AT52" i="60"/>
  <c r="AV52" i="60" s="1"/>
  <c r="AT25" i="60"/>
  <c r="AX25" i="60" s="1"/>
  <c r="C49" i="59"/>
  <c r="C51" i="59" s="1"/>
  <c r="C54" i="59" s="1"/>
  <c r="C57" i="59" s="1"/>
  <c r="J51" i="60"/>
  <c r="J54" i="60" s="1"/>
  <c r="J57" i="60" s="1"/>
  <c r="BN47" i="59"/>
  <c r="U41" i="59"/>
  <c r="BI35" i="59"/>
  <c r="BJ47" i="59"/>
  <c r="BL47" i="59" s="1"/>
  <c r="B49" i="59"/>
  <c r="B51" i="59" s="1"/>
  <c r="B54" i="59" s="1"/>
  <c r="B57" i="59" s="1"/>
  <c r="AT21" i="60"/>
  <c r="AX21" i="60" s="1"/>
  <c r="BJ19" i="59"/>
  <c r="BL19" i="59" s="1"/>
  <c r="E41" i="59"/>
  <c r="Z50" i="59"/>
  <c r="AI28" i="60"/>
  <c r="AT16" i="60"/>
  <c r="AX16" i="60" s="1"/>
  <c r="BN43" i="59"/>
  <c r="AX49" i="59"/>
  <c r="AX51" i="59" s="1"/>
  <c r="AX54" i="59" s="1"/>
  <c r="AX57" i="59" s="1"/>
  <c r="B49" i="60"/>
  <c r="B51" i="60" s="1"/>
  <c r="B54" i="60" s="1"/>
  <c r="B57" i="60" s="1"/>
  <c r="AS40" i="60"/>
  <c r="AS41" i="60" s="1"/>
  <c r="AW41" i="60" s="1"/>
  <c r="AI30" i="60"/>
  <c r="AT18" i="60"/>
  <c r="AX18" i="60" s="1"/>
  <c r="BJ37" i="59"/>
  <c r="BL37" i="59" s="1"/>
  <c r="AT46" i="60"/>
  <c r="AV46" i="60" s="1"/>
  <c r="V30" i="60"/>
  <c r="AI50" i="60"/>
  <c r="BB49" i="59"/>
  <c r="AT23" i="60"/>
  <c r="AV23" i="60" s="1"/>
  <c r="AT20" i="60"/>
  <c r="AV20" i="60" s="1"/>
  <c r="BJ52" i="59"/>
  <c r="BL52" i="59" s="1"/>
  <c r="AU40" i="59"/>
  <c r="AJ48" i="59"/>
  <c r="AL48" i="59" s="1"/>
  <c r="BJ29" i="59"/>
  <c r="BL29" i="59" s="1"/>
  <c r="AU22" i="59"/>
  <c r="AB51" i="59"/>
  <c r="AB54" i="59" s="1"/>
  <c r="AB57" i="59" s="1"/>
  <c r="M28" i="59"/>
  <c r="BJ23" i="59"/>
  <c r="BL23" i="59" s="1"/>
  <c r="Z52" i="60"/>
  <c r="Z53" i="60"/>
  <c r="AE50" i="60"/>
  <c r="AT29" i="60"/>
  <c r="AV29" i="60" s="1"/>
  <c r="AT12" i="60"/>
  <c r="AV12" i="60" s="1"/>
  <c r="AR23" i="60"/>
  <c r="AR19" i="60"/>
  <c r="AT27" i="60"/>
  <c r="AX27" i="60" s="1"/>
  <c r="BJ15" i="59"/>
  <c r="Z24" i="60"/>
  <c r="BA49" i="59"/>
  <c r="BA51" i="59" s="1"/>
  <c r="BA54" i="59" s="1"/>
  <c r="BA57" i="59" s="1"/>
  <c r="BJ40" i="59"/>
  <c r="BJ41" i="59" s="1"/>
  <c r="BL41" i="59" s="1"/>
  <c r="BJ27" i="59"/>
  <c r="BL27" i="59" s="1"/>
  <c r="AR40" i="60"/>
  <c r="AT40" i="60"/>
  <c r="AV40" i="60" s="1"/>
  <c r="AU41" i="59"/>
  <c r="BH17" i="59"/>
  <c r="BJ24" i="59"/>
  <c r="BL24" i="59" s="1"/>
  <c r="BJ16" i="59"/>
  <c r="BL16" i="59" s="1"/>
  <c r="AT47" i="60"/>
  <c r="AX47" i="60" s="1"/>
  <c r="AC49" i="60"/>
  <c r="AE49" i="60" s="1"/>
  <c r="Z18" i="60"/>
  <c r="AR33" i="60"/>
  <c r="Z11" i="60"/>
  <c r="AV11" i="60"/>
  <c r="AR27" i="60"/>
  <c r="U15" i="59"/>
  <c r="AT37" i="60"/>
  <c r="AX37" i="60" s="1"/>
  <c r="AT43" i="60"/>
  <c r="AX43" i="60" s="1"/>
  <c r="BN29" i="59"/>
  <c r="AL53" i="59"/>
  <c r="AU47" i="59"/>
  <c r="AJ44" i="59"/>
  <c r="AL44" i="59" s="1"/>
  <c r="AO49" i="59"/>
  <c r="AQ49" i="59" s="1"/>
  <c r="Z36" i="60"/>
  <c r="K49" i="60"/>
  <c r="K51" i="60" s="1"/>
  <c r="K54" i="60" s="1"/>
  <c r="K57" i="60" s="1"/>
  <c r="X41" i="60"/>
  <c r="Z41" i="60" s="1"/>
  <c r="BJ11" i="59"/>
  <c r="BL11" i="59" s="1"/>
  <c r="AT26" i="60"/>
  <c r="AV26" i="60" s="1"/>
  <c r="BN22" i="59"/>
  <c r="U23" i="59"/>
  <c r="BJ18" i="59"/>
  <c r="BL18" i="59" s="1"/>
  <c r="AR43" i="60"/>
  <c r="AX34" i="60"/>
  <c r="AP28" i="60"/>
  <c r="AR10" i="60"/>
  <c r="AV13" i="60"/>
  <c r="BF41" i="59"/>
  <c r="BH41" i="59" s="1"/>
  <c r="BH40" i="59"/>
  <c r="BJ13" i="59"/>
  <c r="BL13" i="59" s="1"/>
  <c r="AY38" i="60"/>
  <c r="U54" i="60"/>
  <c r="AY52" i="60"/>
  <c r="AS33" i="60"/>
  <c r="W38" i="60"/>
  <c r="W44" i="60"/>
  <c r="AS43" i="60"/>
  <c r="AY26" i="60"/>
  <c r="AV22" i="60"/>
  <c r="AY22" i="60"/>
  <c r="AV18" i="60"/>
  <c r="AY18" i="60"/>
  <c r="AD54" i="60"/>
  <c r="M38" i="60"/>
  <c r="H50" i="60"/>
  <c r="I50" i="60" s="1"/>
  <c r="I30" i="60"/>
  <c r="C49" i="60"/>
  <c r="C51" i="60" s="1"/>
  <c r="C54" i="60" s="1"/>
  <c r="C57" i="60" s="1"/>
  <c r="AY47" i="60"/>
  <c r="AU44" i="60"/>
  <c r="AY43" i="60"/>
  <c r="X48" i="60"/>
  <c r="Z48" i="60" s="1"/>
  <c r="AP48" i="60"/>
  <c r="AR48" i="60" s="1"/>
  <c r="Y49" i="60"/>
  <c r="AG49" i="60"/>
  <c r="AI38" i="60"/>
  <c r="AY25" i="60"/>
  <c r="AY21" i="60"/>
  <c r="AQ50" i="60"/>
  <c r="AU28" i="60"/>
  <c r="AY10" i="60"/>
  <c r="M49" i="60"/>
  <c r="AO38" i="60"/>
  <c r="AO49" i="60" s="1"/>
  <c r="AO51" i="60" s="1"/>
  <c r="AO54" i="60" s="1"/>
  <c r="AO57" i="60" s="1"/>
  <c r="AQ49" i="60"/>
  <c r="W48" i="60"/>
  <c r="AS46" i="60"/>
  <c r="AU48" i="60"/>
  <c r="AY46" i="60"/>
  <c r="AT33" i="60"/>
  <c r="X38" i="60"/>
  <c r="AY53" i="60"/>
  <c r="AV36" i="60"/>
  <c r="AY36" i="60"/>
  <c r="G49" i="60"/>
  <c r="G51" i="60" s="1"/>
  <c r="G54" i="60" s="1"/>
  <c r="G57" i="60" s="1"/>
  <c r="AY41" i="60"/>
  <c r="T49" i="60"/>
  <c r="V38" i="60"/>
  <c r="AY24" i="60"/>
  <c r="AY20" i="60"/>
  <c r="X28" i="60"/>
  <c r="AT10" i="60"/>
  <c r="AV10" i="60" s="1"/>
  <c r="AY17" i="60"/>
  <c r="D30" i="60"/>
  <c r="E28" i="60"/>
  <c r="Z10" i="60"/>
  <c r="Z47" i="60"/>
  <c r="AY37" i="60"/>
  <c r="Z35" i="60"/>
  <c r="AV34" i="60"/>
  <c r="AY34" i="60"/>
  <c r="AH51" i="60"/>
  <c r="AY27" i="60"/>
  <c r="AY23" i="60"/>
  <c r="AV19" i="60"/>
  <c r="AY19" i="60"/>
  <c r="L50" i="60"/>
  <c r="M50" i="60" s="1"/>
  <c r="M30" i="60"/>
  <c r="Y50" i="60"/>
  <c r="I28" i="60"/>
  <c r="Z17" i="60"/>
  <c r="W28" i="60"/>
  <c r="W30" i="60" s="1"/>
  <c r="W50" i="60" s="1"/>
  <c r="AS10" i="60"/>
  <c r="AE44" i="60"/>
  <c r="AY12" i="60"/>
  <c r="AP54" i="59"/>
  <c r="AS48" i="59"/>
  <c r="AU48" i="59" s="1"/>
  <c r="AU46" i="59"/>
  <c r="BK48" i="59"/>
  <c r="Y51" i="59"/>
  <c r="Y54" i="59" s="1"/>
  <c r="BK44" i="59"/>
  <c r="BJ35" i="59"/>
  <c r="BL35" i="59" s="1"/>
  <c r="U35" i="59"/>
  <c r="R38" i="59"/>
  <c r="BI33" i="59"/>
  <c r="G49" i="59"/>
  <c r="AU34" i="59"/>
  <c r="H50" i="59"/>
  <c r="I30" i="59"/>
  <c r="BG38" i="59"/>
  <c r="BH33" i="59"/>
  <c r="AQ30" i="59"/>
  <c r="BJ25" i="59"/>
  <c r="BL25" i="59" s="1"/>
  <c r="T38" i="59"/>
  <c r="U33" i="59"/>
  <c r="BK33" i="59"/>
  <c r="D30" i="59"/>
  <c r="E28" i="59"/>
  <c r="S28" i="59"/>
  <c r="S30" i="59" s="1"/>
  <c r="S50" i="59" s="1"/>
  <c r="BJ10" i="59"/>
  <c r="BL10" i="59" s="1"/>
  <c r="AT49" i="59"/>
  <c r="U29" i="59"/>
  <c r="U27" i="59"/>
  <c r="T30" i="59"/>
  <c r="S44" i="59"/>
  <c r="U44" i="59" s="1"/>
  <c r="BJ43" i="59"/>
  <c r="BJ44" i="59" s="1"/>
  <c r="BJ46" i="59"/>
  <c r="S48" i="59"/>
  <c r="U48" i="59" s="1"/>
  <c r="AC54" i="59"/>
  <c r="L50" i="59"/>
  <c r="M50" i="59" s="1"/>
  <c r="M30" i="59"/>
  <c r="U52" i="59"/>
  <c r="P57" i="59"/>
  <c r="Q54" i="59"/>
  <c r="BJ53" i="59"/>
  <c r="BL53" i="59" s="1"/>
  <c r="S38" i="59"/>
  <c r="BJ33" i="59"/>
  <c r="BJ36" i="59"/>
  <c r="BL36" i="59" s="1"/>
  <c r="BI43" i="59"/>
  <c r="BI44" i="59" s="1"/>
  <c r="AS38" i="59"/>
  <c r="BK15" i="59"/>
  <c r="AU15" i="59"/>
  <c r="BF28" i="59"/>
  <c r="BF30" i="59" s="1"/>
  <c r="BF50" i="59" s="1"/>
  <c r="BF38" i="59"/>
  <c r="AQ50" i="59"/>
  <c r="BJ21" i="59"/>
  <c r="BL21" i="59" s="1"/>
  <c r="U46" i="59"/>
  <c r="BC49" i="59"/>
  <c r="BD38" i="59"/>
  <c r="BJ26" i="59"/>
  <c r="BL26" i="59" s="1"/>
  <c r="AY30" i="59"/>
  <c r="AZ28" i="59"/>
  <c r="AK50" i="59"/>
  <c r="AL50" i="59" s="1"/>
  <c r="BM30" i="59"/>
  <c r="AL30" i="59"/>
  <c r="BJ14" i="59"/>
  <c r="BL14" i="59" s="1"/>
  <c r="BI40" i="59"/>
  <c r="BI41" i="59" s="1"/>
  <c r="R41" i="59"/>
  <c r="BI46" i="59"/>
  <c r="BI48" i="59" s="1"/>
  <c r="BE38" i="59"/>
  <c r="BE49" i="59" s="1"/>
  <c r="BE51" i="59" s="1"/>
  <c r="BE54" i="59" s="1"/>
  <c r="BE57" i="59" s="1"/>
  <c r="AY49" i="59"/>
  <c r="AZ38" i="59"/>
  <c r="AT30" i="59"/>
  <c r="BG30" i="59"/>
  <c r="L49" i="59"/>
  <c r="M38" i="59"/>
  <c r="BJ20" i="59"/>
  <c r="BL20" i="59" s="1"/>
  <c r="R28" i="59"/>
  <c r="R30" i="59" s="1"/>
  <c r="R50" i="59" s="1"/>
  <c r="BI10" i="59"/>
  <c r="BI28" i="59" s="1"/>
  <c r="BI30" i="59" s="1"/>
  <c r="BI50" i="59" s="1"/>
  <c r="AQ28" i="59"/>
  <c r="AS28" i="59"/>
  <c r="AS30" i="59" s="1"/>
  <c r="AS50" i="59" s="1"/>
  <c r="BK28" i="59"/>
  <c r="BH10" i="59"/>
  <c r="BH12" i="59"/>
  <c r="BD30" i="59" l="1"/>
  <c r="BB51" i="59"/>
  <c r="BB54" i="59" s="1"/>
  <c r="BB57" i="59" s="1"/>
  <c r="AV17" i="60"/>
  <c r="AX15" i="60"/>
  <c r="AT44" i="60"/>
  <c r="AX35" i="60"/>
  <c r="AX14" i="60"/>
  <c r="E49" i="59"/>
  <c r="BI38" i="59"/>
  <c r="BI49" i="59" s="1"/>
  <c r="BI51" i="59" s="1"/>
  <c r="BI54" i="59" s="1"/>
  <c r="BI57" i="59" s="1"/>
  <c r="AX46" i="60"/>
  <c r="BL15" i="59"/>
  <c r="AV43" i="60"/>
  <c r="AC51" i="60"/>
  <c r="AC54" i="60" s="1"/>
  <c r="AC57" i="60" s="1"/>
  <c r="AX23" i="60"/>
  <c r="AO51" i="59"/>
  <c r="AO54" i="59" s="1"/>
  <c r="AO57" i="59" s="1"/>
  <c r="AV53" i="60"/>
  <c r="BL40" i="59"/>
  <c r="AV24" i="60"/>
  <c r="AX40" i="60"/>
  <c r="BJ48" i="59"/>
  <c r="BL48" i="59" s="1"/>
  <c r="AP49" i="60"/>
  <c r="AR49" i="60" s="1"/>
  <c r="BH28" i="59"/>
  <c r="E49" i="60"/>
  <c r="AV21" i="60"/>
  <c r="AV37" i="60"/>
  <c r="AV25" i="60"/>
  <c r="AJ49" i="59"/>
  <c r="AJ51" i="59" s="1"/>
  <c r="AJ54" i="59" s="1"/>
  <c r="AJ57" i="59" s="1"/>
  <c r="AV27" i="60"/>
  <c r="AT41" i="60"/>
  <c r="AV41" i="60" s="1"/>
  <c r="S49" i="59"/>
  <c r="S51" i="59" s="1"/>
  <c r="S54" i="59" s="1"/>
  <c r="S57" i="59" s="1"/>
  <c r="AD51" i="59"/>
  <c r="AV16" i="60"/>
  <c r="AW40" i="60"/>
  <c r="R49" i="59"/>
  <c r="R51" i="59" s="1"/>
  <c r="R54" i="59" s="1"/>
  <c r="R57" i="59" s="1"/>
  <c r="BF49" i="59"/>
  <c r="BF51" i="59" s="1"/>
  <c r="BF54" i="59" s="1"/>
  <c r="BF57" i="59" s="1"/>
  <c r="BL44" i="59"/>
  <c r="AV47" i="60"/>
  <c r="AX26" i="60"/>
  <c r="AX11" i="60"/>
  <c r="BJ38" i="59"/>
  <c r="AT48" i="60"/>
  <c r="AX48" i="60" s="1"/>
  <c r="AX12" i="60"/>
  <c r="AX20" i="60"/>
  <c r="AX36" i="60"/>
  <c r="AP30" i="60"/>
  <c r="AR28" i="60"/>
  <c r="AX29" i="60"/>
  <c r="X49" i="60"/>
  <c r="Z49" i="60" s="1"/>
  <c r="AX52" i="60"/>
  <c r="AH54" i="60"/>
  <c r="D50" i="60"/>
  <c r="E30" i="60"/>
  <c r="X30" i="60"/>
  <c r="Z28" i="60"/>
  <c r="AY48" i="60"/>
  <c r="L51" i="60"/>
  <c r="AY44" i="60"/>
  <c r="AV44" i="60"/>
  <c r="AD57" i="60"/>
  <c r="AQ51" i="60"/>
  <c r="AG51" i="60"/>
  <c r="AG54" i="60" s="1"/>
  <c r="AG57" i="60" s="1"/>
  <c r="AI49" i="60"/>
  <c r="I49" i="60"/>
  <c r="W49" i="60"/>
  <c r="W51" i="60" s="1"/>
  <c r="W54" i="60" s="1"/>
  <c r="W57" i="60" s="1"/>
  <c r="AS28" i="60"/>
  <c r="AW10" i="60"/>
  <c r="T51" i="60"/>
  <c r="V49" i="60"/>
  <c r="AX33" i="60"/>
  <c r="AT38" i="60"/>
  <c r="AV33" i="60"/>
  <c r="AS48" i="60"/>
  <c r="AW48" i="60" s="1"/>
  <c r="AW46" i="60"/>
  <c r="Z38" i="60"/>
  <c r="H51" i="60"/>
  <c r="AW33" i="60"/>
  <c r="AS38" i="60"/>
  <c r="U57" i="60"/>
  <c r="AT28" i="60"/>
  <c r="AX10" i="60"/>
  <c r="AU30" i="60"/>
  <c r="AY28" i="60"/>
  <c r="Y51" i="60"/>
  <c r="AS44" i="60"/>
  <c r="AW44" i="60" s="1"/>
  <c r="AW43" i="60"/>
  <c r="AU49" i="60"/>
  <c r="T50" i="59"/>
  <c r="U50" i="59" s="1"/>
  <c r="U30" i="59"/>
  <c r="AU28" i="59"/>
  <c r="AD54" i="59"/>
  <c r="AC57" i="59"/>
  <c r="BJ28" i="59"/>
  <c r="BJ30" i="59" s="1"/>
  <c r="BJ50" i="59" s="1"/>
  <c r="T49" i="59"/>
  <c r="U38" i="59"/>
  <c r="AP57" i="59"/>
  <c r="AY51" i="59"/>
  <c r="AZ49" i="59"/>
  <c r="AY50" i="59"/>
  <c r="AZ50" i="59" s="1"/>
  <c r="AZ30" i="59"/>
  <c r="AS49" i="59"/>
  <c r="AS51" i="59" s="1"/>
  <c r="AS54" i="59" s="1"/>
  <c r="AS57" i="59" s="1"/>
  <c r="AU38" i="59"/>
  <c r="AT50" i="59"/>
  <c r="AU50" i="59" s="1"/>
  <c r="AU30" i="59"/>
  <c r="D50" i="59"/>
  <c r="E30" i="59"/>
  <c r="BG49" i="59"/>
  <c r="BH38" i="59"/>
  <c r="G51" i="59"/>
  <c r="G54" i="59" s="1"/>
  <c r="G57" i="59" s="1"/>
  <c r="I49" i="59"/>
  <c r="Z54" i="59"/>
  <c r="Y57" i="59"/>
  <c r="AT51" i="59"/>
  <c r="I50" i="59"/>
  <c r="H51" i="59"/>
  <c r="L51" i="59"/>
  <c r="M49" i="59"/>
  <c r="BK30" i="59"/>
  <c r="BG50" i="59"/>
  <c r="BH50" i="59" s="1"/>
  <c r="BH30" i="59"/>
  <c r="BC51" i="59"/>
  <c r="BD49" i="59"/>
  <c r="AK51" i="59"/>
  <c r="U28" i="59"/>
  <c r="BL33" i="59"/>
  <c r="BK38" i="59"/>
  <c r="BL43" i="59"/>
  <c r="BL46" i="59"/>
  <c r="F80" i="50"/>
  <c r="F73" i="50"/>
  <c r="F72" i="50"/>
  <c r="F74" i="50" s="1"/>
  <c r="F70" i="50"/>
  <c r="F66" i="50"/>
  <c r="F62" i="50"/>
  <c r="F58" i="50"/>
  <c r="F52" i="50"/>
  <c r="F51" i="50"/>
  <c r="F53" i="50" s="1"/>
  <c r="F49" i="50"/>
  <c r="F45" i="50"/>
  <c r="F41" i="50"/>
  <c r="F36" i="50"/>
  <c r="F37" i="50" s="1"/>
  <c r="F35" i="50"/>
  <c r="F76" i="50" s="1"/>
  <c r="F33" i="50"/>
  <c r="F29" i="50"/>
  <c r="F25" i="50"/>
  <c r="F21" i="50"/>
  <c r="F17" i="50"/>
  <c r="F13" i="50"/>
  <c r="F136" i="49"/>
  <c r="F135" i="49"/>
  <c r="F134" i="49"/>
  <c r="F132" i="49"/>
  <c r="F128" i="49"/>
  <c r="F124" i="49"/>
  <c r="F120" i="49"/>
  <c r="F115" i="49"/>
  <c r="F114" i="49"/>
  <c r="F116" i="49" s="1"/>
  <c r="F112" i="49"/>
  <c r="F108" i="49"/>
  <c r="F104" i="49"/>
  <c r="F99" i="49"/>
  <c r="F100" i="49" s="1"/>
  <c r="F98" i="49"/>
  <c r="F95" i="49"/>
  <c r="F91" i="49"/>
  <c r="F87" i="49"/>
  <c r="F83" i="49"/>
  <c r="F74" i="49"/>
  <c r="F73" i="49"/>
  <c r="F72" i="49"/>
  <c r="F70" i="49"/>
  <c r="F66" i="49"/>
  <c r="F59" i="49"/>
  <c r="F58" i="49"/>
  <c r="F53" i="49"/>
  <c r="F52" i="49"/>
  <c r="F54" i="49" s="1"/>
  <c r="F50" i="49"/>
  <c r="F46" i="49"/>
  <c r="F41" i="49"/>
  <c r="F61" i="49" s="1"/>
  <c r="F139" i="49" s="1"/>
  <c r="F40" i="49"/>
  <c r="F42" i="49" s="1"/>
  <c r="F38" i="49"/>
  <c r="F34" i="49"/>
  <c r="F30" i="49"/>
  <c r="F26" i="49"/>
  <c r="F21" i="49"/>
  <c r="F20" i="49"/>
  <c r="F22" i="49" s="1"/>
  <c r="F18" i="49"/>
  <c r="F14" i="49"/>
  <c r="E188" i="51"/>
  <c r="C188" i="51"/>
  <c r="E146" i="51"/>
  <c r="F25" i="48"/>
  <c r="G25" i="48"/>
  <c r="D25" i="48"/>
  <c r="E17" i="48"/>
  <c r="F17" i="48"/>
  <c r="G17" i="48"/>
  <c r="H17" i="48"/>
  <c r="D17" i="48"/>
  <c r="E118" i="31"/>
  <c r="D118" i="31"/>
  <c r="AQ51" i="59" l="1"/>
  <c r="AQ54" i="59"/>
  <c r="AE51" i="60"/>
  <c r="AE54" i="60"/>
  <c r="AX41" i="60"/>
  <c r="AL49" i="59"/>
  <c r="BJ49" i="59"/>
  <c r="BJ51" i="59" s="1"/>
  <c r="BJ54" i="59" s="1"/>
  <c r="BJ57" i="59" s="1"/>
  <c r="AV48" i="60"/>
  <c r="AX44" i="60"/>
  <c r="AP50" i="60"/>
  <c r="AR30" i="60"/>
  <c r="AU49" i="59"/>
  <c r="AT30" i="60"/>
  <c r="AX28" i="60"/>
  <c r="AS30" i="60"/>
  <c r="AW28" i="60"/>
  <c r="M51" i="60"/>
  <c r="L54" i="60"/>
  <c r="X50" i="60"/>
  <c r="Z30" i="60"/>
  <c r="AH57" i="60"/>
  <c r="AI54" i="60"/>
  <c r="AU50" i="60"/>
  <c r="AU51" i="60" s="1"/>
  <c r="AU54" i="60" s="1"/>
  <c r="AY30" i="60"/>
  <c r="I51" i="60"/>
  <c r="H54" i="60"/>
  <c r="AU55" i="60" s="1"/>
  <c r="AW55" i="60" s="1"/>
  <c r="T54" i="60"/>
  <c r="V51" i="60"/>
  <c r="AQ54" i="60"/>
  <c r="AV28" i="60"/>
  <c r="AT49" i="60"/>
  <c r="AX38" i="60"/>
  <c r="AV38" i="60"/>
  <c r="E50" i="60"/>
  <c r="D51" i="60"/>
  <c r="AY49" i="60"/>
  <c r="Y54" i="60"/>
  <c r="AS49" i="60"/>
  <c r="AW38" i="60"/>
  <c r="AI51" i="60"/>
  <c r="BK50" i="59"/>
  <c r="BL50" i="59" s="1"/>
  <c r="BL30" i="59"/>
  <c r="BG51" i="59"/>
  <c r="BH49" i="59"/>
  <c r="BC54" i="59"/>
  <c r="BD51" i="59"/>
  <c r="AL51" i="59"/>
  <c r="AK54" i="59"/>
  <c r="L54" i="59"/>
  <c r="M51" i="59"/>
  <c r="AT54" i="59"/>
  <c r="AU51" i="59"/>
  <c r="BK49" i="59"/>
  <c r="BL38" i="59"/>
  <c r="BL28" i="59"/>
  <c r="H54" i="59"/>
  <c r="I51" i="59"/>
  <c r="E50" i="59"/>
  <c r="D51" i="59"/>
  <c r="AY54" i="59"/>
  <c r="AZ51" i="59"/>
  <c r="U49" i="59"/>
  <c r="T51" i="59"/>
  <c r="F77" i="50"/>
  <c r="F78" i="50" s="1"/>
  <c r="F81" i="50" s="1"/>
  <c r="F60" i="49"/>
  <c r="F188" i="51"/>
  <c r="C59" i="47"/>
  <c r="C57" i="47"/>
  <c r="C54" i="47"/>
  <c r="C52" i="47"/>
  <c r="C50" i="47"/>
  <c r="C41" i="47"/>
  <c r="D35" i="47"/>
  <c r="C35" i="47"/>
  <c r="AP51" i="60" l="1"/>
  <c r="AR50" i="60"/>
  <c r="AY51" i="60"/>
  <c r="Y57" i="60"/>
  <c r="E51" i="60"/>
  <c r="D54" i="60"/>
  <c r="AX49" i="60"/>
  <c r="AT50" i="60"/>
  <c r="AV50" i="60" s="1"/>
  <c r="AX30" i="60"/>
  <c r="T57" i="60"/>
  <c r="V54" i="60"/>
  <c r="AV30" i="60"/>
  <c r="AW49" i="60"/>
  <c r="AV49" i="60"/>
  <c r="I54" i="60"/>
  <c r="H57" i="60"/>
  <c r="AY50" i="60"/>
  <c r="X51" i="60"/>
  <c r="Z50" i="60"/>
  <c r="AS50" i="60"/>
  <c r="AW50" i="60" s="1"/>
  <c r="AW30" i="60"/>
  <c r="AQ57" i="60"/>
  <c r="L57" i="60"/>
  <c r="M54" i="60"/>
  <c r="AY57" i="59"/>
  <c r="AZ54" i="59"/>
  <c r="AK57" i="59"/>
  <c r="AL54" i="59"/>
  <c r="U51" i="59"/>
  <c r="T54" i="59"/>
  <c r="D54" i="59"/>
  <c r="BM55" i="59" s="1"/>
  <c r="E51" i="59"/>
  <c r="AT57" i="59"/>
  <c r="AU54" i="59"/>
  <c r="BG54" i="59"/>
  <c r="BH51" i="59"/>
  <c r="I54" i="59"/>
  <c r="H57" i="59"/>
  <c r="BK51" i="59"/>
  <c r="BL49" i="59"/>
  <c r="M54" i="59"/>
  <c r="L57" i="59"/>
  <c r="BC57" i="59"/>
  <c r="BD54" i="59"/>
  <c r="F62" i="49"/>
  <c r="F138" i="49"/>
  <c r="F140" i="49" s="1"/>
  <c r="J19" i="58"/>
  <c r="E19" i="58"/>
  <c r="I17" i="58"/>
  <c r="H17" i="58"/>
  <c r="D17" i="58"/>
  <c r="C17" i="58"/>
  <c r="J16" i="58"/>
  <c r="E16" i="58"/>
  <c r="J15" i="58"/>
  <c r="E15" i="58"/>
  <c r="J14" i="58"/>
  <c r="E14" i="58"/>
  <c r="I13" i="58"/>
  <c r="H13" i="58"/>
  <c r="D13" i="58"/>
  <c r="C13" i="58"/>
  <c r="J12" i="58"/>
  <c r="J11" i="58"/>
  <c r="E11" i="58"/>
  <c r="J10" i="58"/>
  <c r="E10" i="58"/>
  <c r="J9" i="58"/>
  <c r="E9" i="58"/>
  <c r="J8" i="58"/>
  <c r="E8" i="58"/>
  <c r="AS51" i="60" l="1"/>
  <c r="AS54" i="60" s="1"/>
  <c r="H18" i="58"/>
  <c r="H20" i="58" s="1"/>
  <c r="AX50" i="60"/>
  <c r="AP54" i="60"/>
  <c r="AR51" i="60"/>
  <c r="AU57" i="60"/>
  <c r="AY54" i="60"/>
  <c r="AT51" i="60"/>
  <c r="D57" i="60"/>
  <c r="E54" i="60"/>
  <c r="X54" i="60"/>
  <c r="Z51" i="60"/>
  <c r="BK54" i="59"/>
  <c r="BL51" i="59"/>
  <c r="BG57" i="59"/>
  <c r="BH54" i="59"/>
  <c r="D57" i="59"/>
  <c r="E54" i="59"/>
  <c r="T57" i="59"/>
  <c r="U54" i="59"/>
  <c r="I18" i="58"/>
  <c r="I20" i="58" s="1"/>
  <c r="D18" i="58"/>
  <c r="D20" i="58" s="1"/>
  <c r="J17" i="58"/>
  <c r="J13" i="58"/>
  <c r="E17" i="58"/>
  <c r="C18" i="58"/>
  <c r="C20" i="58" s="1"/>
  <c r="E13" i="58"/>
  <c r="I32" i="57"/>
  <c r="H32" i="57"/>
  <c r="J31" i="57"/>
  <c r="J30" i="57"/>
  <c r="J29" i="57"/>
  <c r="I28" i="57"/>
  <c r="J27" i="57"/>
  <c r="J26" i="57"/>
  <c r="J25" i="57"/>
  <c r="H24" i="57"/>
  <c r="J23" i="57"/>
  <c r="H22" i="57"/>
  <c r="J22" i="57" s="1"/>
  <c r="J21" i="57"/>
  <c r="J20" i="57"/>
  <c r="J19" i="57"/>
  <c r="H18" i="57"/>
  <c r="J18" i="57" s="1"/>
  <c r="G18" i="57"/>
  <c r="I17" i="57"/>
  <c r="I33" i="57" s="1"/>
  <c r="J16" i="57"/>
  <c r="J15" i="57"/>
  <c r="J14" i="57"/>
  <c r="F14" i="57"/>
  <c r="J13" i="57"/>
  <c r="H12" i="57"/>
  <c r="J12" i="57" s="1"/>
  <c r="G12" i="57"/>
  <c r="J11" i="57"/>
  <c r="H11" i="57"/>
  <c r="G11" i="57"/>
  <c r="J10" i="57"/>
  <c r="J9" i="57"/>
  <c r="H8" i="57"/>
  <c r="J8" i="57" s="1"/>
  <c r="G8" i="57"/>
  <c r="G106" i="54"/>
  <c r="G105" i="54"/>
  <c r="F101" i="54"/>
  <c r="G103" i="54"/>
  <c r="G102" i="54"/>
  <c r="E101" i="54"/>
  <c r="G99" i="54"/>
  <c r="G98" i="54"/>
  <c r="G97" i="54"/>
  <c r="F96" i="54"/>
  <c r="E96" i="54"/>
  <c r="G94" i="54"/>
  <c r="G93" i="54"/>
  <c r="G92" i="54"/>
  <c r="G91" i="54"/>
  <c r="F90" i="54"/>
  <c r="E90" i="54"/>
  <c r="G79" i="54"/>
  <c r="G72" i="54"/>
  <c r="G62" i="54"/>
  <c r="G56" i="54"/>
  <c r="G52" i="54"/>
  <c r="G50" i="54"/>
  <c r="G46" i="54"/>
  <c r="G45" i="54"/>
  <c r="G44" i="54"/>
  <c r="G43" i="54"/>
  <c r="F42" i="54"/>
  <c r="E42" i="54"/>
  <c r="G41" i="54"/>
  <c r="G40" i="54"/>
  <c r="G39" i="54"/>
  <c r="G38" i="54"/>
  <c r="F37" i="54"/>
  <c r="E37" i="54"/>
  <c r="G36" i="54"/>
  <c r="G35" i="54"/>
  <c r="G34" i="54"/>
  <c r="F33" i="54"/>
  <c r="E33" i="54"/>
  <c r="G32" i="54"/>
  <c r="G31" i="54"/>
  <c r="G30" i="54"/>
  <c r="G29" i="54"/>
  <c r="G28" i="54"/>
  <c r="G27" i="54"/>
  <c r="G26" i="54"/>
  <c r="E25" i="54"/>
  <c r="G24" i="54"/>
  <c r="E18" i="54"/>
  <c r="G22" i="54"/>
  <c r="G21" i="54"/>
  <c r="G20" i="54"/>
  <c r="G19" i="54"/>
  <c r="F18" i="54"/>
  <c r="G15" i="54"/>
  <c r="G14" i="54" s="1"/>
  <c r="F14" i="54"/>
  <c r="E14" i="54"/>
  <c r="E10" i="54" s="1"/>
  <c r="G13" i="54"/>
  <c r="E11" i="54"/>
  <c r="H15" i="53"/>
  <c r="J26" i="52"/>
  <c r="K20" i="52"/>
  <c r="F16" i="52"/>
  <c r="F13" i="52"/>
  <c r="F11" i="52"/>
  <c r="E180" i="51"/>
  <c r="C180" i="51"/>
  <c r="E172" i="51"/>
  <c r="C172" i="51"/>
  <c r="E164" i="51"/>
  <c r="C164" i="51"/>
  <c r="E158" i="51"/>
  <c r="C158" i="51"/>
  <c r="C152" i="51"/>
  <c r="C146" i="51"/>
  <c r="C140" i="51"/>
  <c r="E139" i="51"/>
  <c r="E140" i="51" s="1"/>
  <c r="C134" i="51"/>
  <c r="E133" i="51"/>
  <c r="E134" i="51" s="1"/>
  <c r="C128" i="51"/>
  <c r="E127" i="51"/>
  <c r="E128" i="51" s="1"/>
  <c r="C121" i="51"/>
  <c r="E118" i="51"/>
  <c r="E121" i="51" s="1"/>
  <c r="C114" i="51"/>
  <c r="E113" i="51"/>
  <c r="E111" i="51"/>
  <c r="E106" i="51"/>
  <c r="C106" i="51"/>
  <c r="E98" i="51"/>
  <c r="C98" i="51"/>
  <c r="E88" i="51"/>
  <c r="E91" i="51" s="1"/>
  <c r="C86" i="51"/>
  <c r="C91" i="51" s="1"/>
  <c r="E84" i="51"/>
  <c r="C84" i="51"/>
  <c r="C77" i="51"/>
  <c r="E74" i="51"/>
  <c r="E77" i="51" s="1"/>
  <c r="C70" i="51"/>
  <c r="E69" i="51"/>
  <c r="E66" i="51"/>
  <c r="E65" i="51"/>
  <c r="C65" i="51"/>
  <c r="C57" i="51"/>
  <c r="E54" i="51"/>
  <c r="E57" i="51" s="1"/>
  <c r="C48" i="51"/>
  <c r="E45" i="51"/>
  <c r="E43" i="51"/>
  <c r="E42" i="51"/>
  <c r="E41" i="51"/>
  <c r="C34" i="51"/>
  <c r="E28" i="51"/>
  <c r="E34" i="51" s="1"/>
  <c r="E17" i="51"/>
  <c r="C17" i="51"/>
  <c r="G73" i="50"/>
  <c r="G72" i="50"/>
  <c r="G70" i="50"/>
  <c r="G66" i="50"/>
  <c r="G62" i="50"/>
  <c r="G58" i="50"/>
  <c r="G52" i="50"/>
  <c r="G51" i="50"/>
  <c r="G49" i="50"/>
  <c r="G45" i="50"/>
  <c r="G41" i="50"/>
  <c r="G36" i="50"/>
  <c r="G35" i="50"/>
  <c r="G33" i="50"/>
  <c r="G29" i="50"/>
  <c r="G25" i="50"/>
  <c r="G21" i="50"/>
  <c r="G17" i="50"/>
  <c r="G13" i="50"/>
  <c r="G135" i="49"/>
  <c r="G134" i="49"/>
  <c r="G132" i="49"/>
  <c r="G128" i="49"/>
  <c r="G124" i="49"/>
  <c r="G120" i="49"/>
  <c r="G115" i="49"/>
  <c r="G114" i="49"/>
  <c r="G112" i="49"/>
  <c r="G108" i="49"/>
  <c r="G104" i="49"/>
  <c r="G99" i="49"/>
  <c r="G98" i="49"/>
  <c r="G95" i="49"/>
  <c r="G91" i="49"/>
  <c r="G87" i="49"/>
  <c r="G83" i="49"/>
  <c r="G73" i="49"/>
  <c r="G72" i="49"/>
  <c r="G74" i="49" s="1"/>
  <c r="G70" i="49"/>
  <c r="G66" i="49"/>
  <c r="G58" i="49"/>
  <c r="G59" i="49" s="1"/>
  <c r="G53" i="49"/>
  <c r="G52" i="49"/>
  <c r="G50" i="49"/>
  <c r="G46" i="49"/>
  <c r="G41" i="49"/>
  <c r="G40" i="49"/>
  <c r="G38" i="49"/>
  <c r="G34" i="49"/>
  <c r="G30" i="49"/>
  <c r="G26" i="49"/>
  <c r="G21" i="49"/>
  <c r="G20" i="49"/>
  <c r="G60" i="49" s="1"/>
  <c r="G18" i="49"/>
  <c r="G14" i="49"/>
  <c r="H24" i="48"/>
  <c r="G24" i="48"/>
  <c r="F24" i="48"/>
  <c r="E24" i="48"/>
  <c r="D24" i="48"/>
  <c r="H21" i="48"/>
  <c r="H25" i="48" s="1"/>
  <c r="G21" i="48"/>
  <c r="F21" i="48"/>
  <c r="E21" i="48"/>
  <c r="D21" i="48"/>
  <c r="H14" i="48"/>
  <c r="G14" i="48"/>
  <c r="F14" i="48"/>
  <c r="E14" i="48"/>
  <c r="D14" i="48"/>
  <c r="H11" i="48"/>
  <c r="G11" i="48"/>
  <c r="F11" i="48"/>
  <c r="E11" i="48"/>
  <c r="E25" i="48" s="1"/>
  <c r="D11" i="48"/>
  <c r="H8" i="48"/>
  <c r="G8" i="48"/>
  <c r="F8" i="48"/>
  <c r="E8" i="48"/>
  <c r="D8" i="48"/>
  <c r="D82" i="47"/>
  <c r="D99" i="47" s="1"/>
  <c r="C82" i="47"/>
  <c r="C99" i="47" s="1"/>
  <c r="C16" i="46"/>
  <c r="G79" i="31"/>
  <c r="F40" i="31"/>
  <c r="F115" i="31" s="1"/>
  <c r="D9" i="36"/>
  <c r="D77" i="36"/>
  <c r="F77" i="36" s="1"/>
  <c r="F13" i="40"/>
  <c r="L23" i="41"/>
  <c r="J23" i="41"/>
  <c r="K23" i="41"/>
  <c r="G20" i="40"/>
  <c r="J24" i="24"/>
  <c r="M22" i="41"/>
  <c r="G103" i="31"/>
  <c r="G113" i="31"/>
  <c r="H103" i="39"/>
  <c r="E6" i="41" s="1"/>
  <c r="H33" i="39"/>
  <c r="J16" i="39"/>
  <c r="J19" i="39"/>
  <c r="J20" i="39"/>
  <c r="J21" i="39"/>
  <c r="M19" i="41"/>
  <c r="M20" i="41"/>
  <c r="J45" i="39"/>
  <c r="M50" i="41"/>
  <c r="G18" i="40"/>
  <c r="F84" i="14"/>
  <c r="F86" i="14"/>
  <c r="D87" i="14"/>
  <c r="F38" i="11"/>
  <c r="F39" i="11"/>
  <c r="G34" i="9"/>
  <c r="J98" i="39"/>
  <c r="G49" i="41"/>
  <c r="E115" i="31"/>
  <c r="K42" i="41" s="1"/>
  <c r="D115" i="31"/>
  <c r="J42" i="41" s="1"/>
  <c r="F19" i="22"/>
  <c r="F20" i="22"/>
  <c r="H37" i="39"/>
  <c r="G37" i="39"/>
  <c r="E6" i="40"/>
  <c r="F6" i="40"/>
  <c r="D6" i="40"/>
  <c r="E13" i="40"/>
  <c r="D13" i="40"/>
  <c r="G16" i="31"/>
  <c r="M48" i="41"/>
  <c r="F72" i="36"/>
  <c r="G8" i="40"/>
  <c r="G9" i="40"/>
  <c r="I28" i="39"/>
  <c r="J51" i="39"/>
  <c r="J52" i="39"/>
  <c r="G89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4" i="31"/>
  <c r="G105" i="31"/>
  <c r="G106" i="31"/>
  <c r="G107" i="31"/>
  <c r="G108" i="31"/>
  <c r="G109" i="31"/>
  <c r="G110" i="31"/>
  <c r="G111" i="31"/>
  <c r="G112" i="31"/>
  <c r="G114" i="31"/>
  <c r="G22" i="40"/>
  <c r="G23" i="40"/>
  <c r="G24" i="40"/>
  <c r="G25" i="40"/>
  <c r="G26" i="40"/>
  <c r="G27" i="40"/>
  <c r="G28" i="40"/>
  <c r="G29" i="40"/>
  <c r="G30" i="40"/>
  <c r="G31" i="40"/>
  <c r="G32" i="40"/>
  <c r="G33" i="40"/>
  <c r="F83" i="14"/>
  <c r="F85" i="14"/>
  <c r="J112" i="39"/>
  <c r="J46" i="39"/>
  <c r="G10" i="40"/>
  <c r="G17" i="40"/>
  <c r="G19" i="40"/>
  <c r="G21" i="40"/>
  <c r="G16" i="40"/>
  <c r="D78" i="14"/>
  <c r="D88" i="14" s="1"/>
  <c r="E87" i="14"/>
  <c r="C87" i="14"/>
  <c r="F57" i="14"/>
  <c r="F58" i="14"/>
  <c r="F21" i="13"/>
  <c r="C84" i="36"/>
  <c r="C85" i="36" s="1"/>
  <c r="D84" i="36"/>
  <c r="D85" i="36" s="1"/>
  <c r="E84" i="36"/>
  <c r="F83" i="36"/>
  <c r="G15" i="31"/>
  <c r="G14" i="31"/>
  <c r="F8" i="22"/>
  <c r="G84" i="31"/>
  <c r="G85" i="31"/>
  <c r="G86" i="31"/>
  <c r="G87" i="31"/>
  <c r="G88" i="31"/>
  <c r="E17" i="31"/>
  <c r="K37" i="41" s="1"/>
  <c r="F17" i="31"/>
  <c r="D17" i="31"/>
  <c r="J37" i="41" s="1"/>
  <c r="G216" i="41"/>
  <c r="G39" i="40"/>
  <c r="J42" i="39"/>
  <c r="E74" i="36"/>
  <c r="F82" i="14"/>
  <c r="F49" i="40"/>
  <c r="F25" i="31"/>
  <c r="L39" i="41" s="1"/>
  <c r="J34" i="39"/>
  <c r="J29" i="39"/>
  <c r="E35" i="36"/>
  <c r="F35" i="36" s="1"/>
  <c r="E36" i="36"/>
  <c r="F16" i="14"/>
  <c r="F17" i="14"/>
  <c r="F19" i="36"/>
  <c r="F15" i="36"/>
  <c r="G53" i="41"/>
  <c r="G61" i="31"/>
  <c r="G52" i="31"/>
  <c r="G51" i="31"/>
  <c r="G10" i="31"/>
  <c r="E49" i="40"/>
  <c r="E31" i="41" s="1"/>
  <c r="F46" i="14"/>
  <c r="F27" i="11"/>
  <c r="J110" i="39"/>
  <c r="H28" i="39"/>
  <c r="J50" i="39"/>
  <c r="G117" i="31"/>
  <c r="E19" i="14"/>
  <c r="F19" i="14" s="1"/>
  <c r="M21" i="41"/>
  <c r="M18" i="41"/>
  <c r="M49" i="41"/>
  <c r="I10" i="24"/>
  <c r="I26" i="24" s="1"/>
  <c r="J26" i="24" s="1"/>
  <c r="I25" i="24"/>
  <c r="F41" i="40"/>
  <c r="F29" i="41" s="1"/>
  <c r="E32" i="22"/>
  <c r="E54" i="36"/>
  <c r="J91" i="39"/>
  <c r="I33" i="39"/>
  <c r="G33" i="39"/>
  <c r="I35" i="39"/>
  <c r="H35" i="39"/>
  <c r="G35" i="39"/>
  <c r="J81" i="39"/>
  <c r="F55" i="14"/>
  <c r="F54" i="14"/>
  <c r="F26" i="12"/>
  <c r="I70" i="39"/>
  <c r="F9" i="41" s="1"/>
  <c r="I103" i="39"/>
  <c r="F6" i="41" s="1"/>
  <c r="I113" i="39"/>
  <c r="F8" i="41" s="1"/>
  <c r="I126" i="39"/>
  <c r="G37" i="40"/>
  <c r="G38" i="40"/>
  <c r="G14" i="40"/>
  <c r="G7" i="40"/>
  <c r="F12" i="22"/>
  <c r="J108" i="39"/>
  <c r="J109" i="39"/>
  <c r="J79" i="39"/>
  <c r="F7" i="13"/>
  <c r="G33" i="9"/>
  <c r="D32" i="22"/>
  <c r="K12" i="41" s="1"/>
  <c r="F30" i="22"/>
  <c r="F10" i="22"/>
  <c r="F53" i="14"/>
  <c r="F81" i="14"/>
  <c r="E25" i="31"/>
  <c r="K39" i="41" s="1"/>
  <c r="E33" i="31"/>
  <c r="K41" i="41" s="1"/>
  <c r="E21" i="31"/>
  <c r="K38" i="41" s="1"/>
  <c r="H10" i="24"/>
  <c r="H25" i="24"/>
  <c r="D32" i="25"/>
  <c r="D10" i="12"/>
  <c r="D27" i="12"/>
  <c r="D36" i="12"/>
  <c r="E10" i="9"/>
  <c r="E39" i="9"/>
  <c r="E40" i="9" s="1"/>
  <c r="E48" i="9"/>
  <c r="D10" i="11"/>
  <c r="D13" i="11"/>
  <c r="D30" i="11"/>
  <c r="D31" i="11" s="1"/>
  <c r="D32" i="11" s="1"/>
  <c r="D40" i="11"/>
  <c r="K32" i="41" s="1"/>
  <c r="D12" i="36"/>
  <c r="D18" i="36"/>
  <c r="D23" i="36"/>
  <c r="D28" i="36"/>
  <c r="D33" i="36"/>
  <c r="D64" i="36"/>
  <c r="D74" i="36"/>
  <c r="D101" i="36"/>
  <c r="K31" i="41" s="1"/>
  <c r="F71" i="36"/>
  <c r="D9" i="14"/>
  <c r="D19" i="14"/>
  <c r="D97" i="14"/>
  <c r="K35" i="41"/>
  <c r="D10" i="13"/>
  <c r="D15" i="13"/>
  <c r="K10" i="41" s="1"/>
  <c r="D23" i="13"/>
  <c r="K34" i="41" s="1"/>
  <c r="F18" i="22"/>
  <c r="F17" i="22"/>
  <c r="G81" i="31"/>
  <c r="G77" i="31"/>
  <c r="G78" i="31"/>
  <c r="G67" i="31"/>
  <c r="G72" i="31"/>
  <c r="G73" i="31"/>
  <c r="G74" i="31"/>
  <c r="G57" i="31"/>
  <c r="G58" i="31"/>
  <c r="G59" i="31"/>
  <c r="G60" i="31"/>
  <c r="G64" i="31"/>
  <c r="G41" i="31"/>
  <c r="G45" i="31"/>
  <c r="G46" i="31"/>
  <c r="G48" i="31"/>
  <c r="G49" i="31"/>
  <c r="G50" i="31"/>
  <c r="G8" i="31"/>
  <c r="G11" i="31"/>
  <c r="G12" i="31"/>
  <c r="G13" i="31"/>
  <c r="E64" i="36"/>
  <c r="E78" i="36"/>
  <c r="E79" i="36" s="1"/>
  <c r="E12" i="36"/>
  <c r="J39" i="39"/>
  <c r="J40" i="39"/>
  <c r="J41" i="39"/>
  <c r="J43" i="39"/>
  <c r="J44" i="39"/>
  <c r="J47" i="39"/>
  <c r="J48" i="39"/>
  <c r="F12" i="12"/>
  <c r="F63" i="36"/>
  <c r="F18" i="25"/>
  <c r="F30" i="25"/>
  <c r="F16" i="25"/>
  <c r="F72" i="14"/>
  <c r="F71" i="14"/>
  <c r="F12" i="13"/>
  <c r="F20" i="11"/>
  <c r="F22" i="36"/>
  <c r="G27" i="9"/>
  <c r="J15" i="39"/>
  <c r="H70" i="39"/>
  <c r="E9" i="41" s="1"/>
  <c r="G70" i="39"/>
  <c r="D9" i="41" s="1"/>
  <c r="J69" i="39"/>
  <c r="F10" i="9"/>
  <c r="F39" i="9"/>
  <c r="E9" i="14"/>
  <c r="E32" i="25"/>
  <c r="L14" i="41"/>
  <c r="E10" i="13"/>
  <c r="E14" i="13"/>
  <c r="E10" i="12"/>
  <c r="E27" i="12"/>
  <c r="F27" i="12"/>
  <c r="E10" i="11"/>
  <c r="E13" i="11"/>
  <c r="E30" i="11"/>
  <c r="F30" i="11" s="1"/>
  <c r="F21" i="31"/>
  <c r="L40" i="41"/>
  <c r="F33" i="31"/>
  <c r="L43" i="41"/>
  <c r="E40" i="11"/>
  <c r="L32" i="41" s="1"/>
  <c r="E36" i="12"/>
  <c r="L33" i="41" s="1"/>
  <c r="E97" i="14"/>
  <c r="L35" i="41" s="1"/>
  <c r="L54" i="41"/>
  <c r="G29" i="31"/>
  <c r="F16" i="22"/>
  <c r="C78" i="14"/>
  <c r="F69" i="14"/>
  <c r="F67" i="14"/>
  <c r="F56" i="14"/>
  <c r="G32" i="9"/>
  <c r="G21" i="9"/>
  <c r="G19" i="9"/>
  <c r="J90" i="39"/>
  <c r="J89" i="39"/>
  <c r="G25" i="24"/>
  <c r="C64" i="36"/>
  <c r="D25" i="31"/>
  <c r="J39" i="41" s="1"/>
  <c r="D33" i="31"/>
  <c r="J41" i="41" s="1"/>
  <c r="D21" i="31"/>
  <c r="J38" i="41" s="1"/>
  <c r="F29" i="25"/>
  <c r="F26" i="11"/>
  <c r="C28" i="36"/>
  <c r="G48" i="41"/>
  <c r="J49" i="39"/>
  <c r="G39" i="31"/>
  <c r="G30" i="31"/>
  <c r="G11" i="40"/>
  <c r="G12" i="40"/>
  <c r="F80" i="14"/>
  <c r="F70" i="36"/>
  <c r="J127" i="39"/>
  <c r="J128" i="39"/>
  <c r="H113" i="39"/>
  <c r="J78" i="39"/>
  <c r="J31" i="39"/>
  <c r="J32" i="39"/>
  <c r="J30" i="39"/>
  <c r="G50" i="41"/>
  <c r="C19" i="14"/>
  <c r="C88" i="14" s="1"/>
  <c r="F40" i="14"/>
  <c r="D37" i="36"/>
  <c r="D54" i="36"/>
  <c r="E101" i="36"/>
  <c r="L31" i="41" s="1"/>
  <c r="F48" i="9"/>
  <c r="F45" i="14"/>
  <c r="G75" i="31"/>
  <c r="F25" i="11"/>
  <c r="F28" i="11"/>
  <c r="F12" i="11"/>
  <c r="F62" i="40"/>
  <c r="F65" i="40" s="1"/>
  <c r="F54" i="41"/>
  <c r="F14" i="22"/>
  <c r="G55" i="31"/>
  <c r="G56" i="31"/>
  <c r="G63" i="31"/>
  <c r="G65" i="31"/>
  <c r="F23" i="12"/>
  <c r="J27" i="39"/>
  <c r="J30" i="24"/>
  <c r="J106" i="39"/>
  <c r="F82" i="36"/>
  <c r="G7" i="31"/>
  <c r="J101" i="39"/>
  <c r="J107" i="39"/>
  <c r="J80" i="39"/>
  <c r="J68" i="39"/>
  <c r="G28" i="39"/>
  <c r="G64" i="40"/>
  <c r="F62" i="36"/>
  <c r="G35" i="9"/>
  <c r="J14" i="39"/>
  <c r="J13" i="39"/>
  <c r="J10" i="39"/>
  <c r="J9" i="39"/>
  <c r="J96" i="39"/>
  <c r="J97" i="39"/>
  <c r="F27" i="22"/>
  <c r="F94" i="14"/>
  <c r="F95" i="14"/>
  <c r="F96" i="14"/>
  <c r="F43" i="14"/>
  <c r="F63" i="14"/>
  <c r="F64" i="14"/>
  <c r="F65" i="14"/>
  <c r="F66" i="14"/>
  <c r="F70" i="14"/>
  <c r="F38" i="14"/>
  <c r="F28" i="14"/>
  <c r="F19" i="12"/>
  <c r="F20" i="12"/>
  <c r="F21" i="12"/>
  <c r="F22" i="12"/>
  <c r="F29" i="11"/>
  <c r="G22" i="9"/>
  <c r="G23" i="9"/>
  <c r="G24" i="9"/>
  <c r="G25" i="9"/>
  <c r="G26" i="9"/>
  <c r="G28" i="9"/>
  <c r="G29" i="9"/>
  <c r="G30" i="9"/>
  <c r="G31" i="9"/>
  <c r="G36" i="9"/>
  <c r="G38" i="9"/>
  <c r="G17" i="9"/>
  <c r="G18" i="9"/>
  <c r="G20" i="9"/>
  <c r="G32" i="31"/>
  <c r="F7" i="14"/>
  <c r="F8" i="14"/>
  <c r="G113" i="39"/>
  <c r="D8" i="41" s="1"/>
  <c r="G126" i="39"/>
  <c r="G129" i="39" s="1"/>
  <c r="D10" i="41" s="1"/>
  <c r="G103" i="39"/>
  <c r="D6" i="41" s="1"/>
  <c r="H126" i="39"/>
  <c r="H129" i="39" s="1"/>
  <c r="E10" i="41" s="1"/>
  <c r="E62" i="40"/>
  <c r="E65" i="40" s="1"/>
  <c r="E32" i="41" s="1"/>
  <c r="C10" i="11"/>
  <c r="C30" i="11"/>
  <c r="C13" i="11"/>
  <c r="F52" i="36"/>
  <c r="F53" i="36"/>
  <c r="C54" i="36"/>
  <c r="E41" i="40"/>
  <c r="E29" i="41" s="1"/>
  <c r="D41" i="40"/>
  <c r="D29" i="41" s="1"/>
  <c r="E54" i="41"/>
  <c r="F51" i="36"/>
  <c r="F50" i="36"/>
  <c r="J16" i="24"/>
  <c r="F31" i="25"/>
  <c r="F19" i="25"/>
  <c r="D39" i="9"/>
  <c r="D10" i="9"/>
  <c r="D14" i="13"/>
  <c r="E23" i="13"/>
  <c r="L34" i="41" s="1"/>
  <c r="M34" i="41" s="1"/>
  <c r="C32" i="22"/>
  <c r="J12" i="41" s="1"/>
  <c r="C9" i="14"/>
  <c r="C12" i="36"/>
  <c r="C18" i="36"/>
  <c r="C23" i="36"/>
  <c r="C33" i="36"/>
  <c r="C37" i="36"/>
  <c r="C74" i="36"/>
  <c r="C78" i="36"/>
  <c r="G10" i="24"/>
  <c r="G20" i="31"/>
  <c r="G19" i="31"/>
  <c r="C32" i="25"/>
  <c r="J14" i="41" s="1"/>
  <c r="C97" i="14"/>
  <c r="J35" i="41" s="1"/>
  <c r="K40" i="41"/>
  <c r="C27" i="12"/>
  <c r="C10" i="12"/>
  <c r="C28" i="12" s="1"/>
  <c r="C38" i="12" s="1"/>
  <c r="G9" i="31"/>
  <c r="G23" i="31"/>
  <c r="G24" i="31"/>
  <c r="G26" i="31"/>
  <c r="G28" i="31"/>
  <c r="G31" i="31"/>
  <c r="G36" i="31"/>
  <c r="G37" i="31"/>
  <c r="G38" i="31"/>
  <c r="G43" i="31"/>
  <c r="G54" i="31"/>
  <c r="G80" i="31"/>
  <c r="G82" i="31"/>
  <c r="G83" i="31"/>
  <c r="G15" i="40"/>
  <c r="G36" i="40"/>
  <c r="G44" i="40"/>
  <c r="G45" i="40"/>
  <c r="D49" i="40"/>
  <c r="D31" i="41" s="1"/>
  <c r="D62" i="40"/>
  <c r="D65" i="40" s="1"/>
  <c r="D32" i="41" s="1"/>
  <c r="G59" i="40"/>
  <c r="F7" i="25"/>
  <c r="F8" i="25"/>
  <c r="F9" i="25"/>
  <c r="F10" i="25"/>
  <c r="F11" i="25"/>
  <c r="F12" i="25"/>
  <c r="F13" i="25"/>
  <c r="F14" i="25"/>
  <c r="F15" i="25"/>
  <c r="F17" i="25"/>
  <c r="F20" i="25"/>
  <c r="F21" i="25"/>
  <c r="F22" i="25"/>
  <c r="F23" i="25"/>
  <c r="F24" i="25"/>
  <c r="F25" i="25"/>
  <c r="F26" i="25"/>
  <c r="F27" i="25"/>
  <c r="F28" i="25"/>
  <c r="J8" i="24"/>
  <c r="J9" i="24"/>
  <c r="J12" i="24"/>
  <c r="J13" i="24"/>
  <c r="J14" i="24"/>
  <c r="J17" i="24"/>
  <c r="J18" i="24"/>
  <c r="J19" i="24"/>
  <c r="J20" i="24"/>
  <c r="J21" i="24"/>
  <c r="J22" i="24"/>
  <c r="J23" i="24"/>
  <c r="J27" i="24"/>
  <c r="F7" i="22"/>
  <c r="F9" i="22"/>
  <c r="F11" i="22"/>
  <c r="F13" i="22"/>
  <c r="F15" i="22"/>
  <c r="F21" i="22"/>
  <c r="F22" i="22"/>
  <c r="F23" i="22"/>
  <c r="F24" i="22"/>
  <c r="F25" i="22"/>
  <c r="F26" i="22"/>
  <c r="F28" i="22"/>
  <c r="F31" i="22"/>
  <c r="F6" i="14"/>
  <c r="F11" i="14"/>
  <c r="F14" i="14"/>
  <c r="F15" i="14"/>
  <c r="F18" i="14"/>
  <c r="F48" i="14"/>
  <c r="F21" i="14"/>
  <c r="F74" i="14"/>
  <c r="F22" i="14"/>
  <c r="F23" i="14"/>
  <c r="F25" i="14"/>
  <c r="F49" i="14"/>
  <c r="F26" i="14"/>
  <c r="F60" i="14"/>
  <c r="F50" i="14"/>
  <c r="F61" i="14"/>
  <c r="F76" i="14"/>
  <c r="F27" i="14"/>
  <c r="F30" i="14"/>
  <c r="F31" i="14"/>
  <c r="F32" i="14"/>
  <c r="F33" i="14"/>
  <c r="F35" i="14"/>
  <c r="F36" i="14"/>
  <c r="F37" i="14"/>
  <c r="F62" i="14"/>
  <c r="F51" i="14"/>
  <c r="F52" i="14"/>
  <c r="F29" i="14"/>
  <c r="F39" i="14"/>
  <c r="F41" i="14"/>
  <c r="F42" i="14"/>
  <c r="F44" i="14"/>
  <c r="F8" i="13"/>
  <c r="F9" i="13"/>
  <c r="C10" i="13"/>
  <c r="C14" i="13"/>
  <c r="C23" i="13"/>
  <c r="J34" i="41" s="1"/>
  <c r="F11" i="13"/>
  <c r="F13" i="13"/>
  <c r="F22" i="13"/>
  <c r="F7" i="12"/>
  <c r="F8" i="12"/>
  <c r="F9" i="12"/>
  <c r="F15" i="12"/>
  <c r="F16" i="12"/>
  <c r="F17" i="12"/>
  <c r="F33" i="12"/>
  <c r="F34" i="12"/>
  <c r="F35" i="12"/>
  <c r="C36" i="12"/>
  <c r="F7" i="11"/>
  <c r="F8" i="11"/>
  <c r="F9" i="11"/>
  <c r="F15" i="11"/>
  <c r="F16" i="11"/>
  <c r="F17" i="11"/>
  <c r="F18" i="11"/>
  <c r="F19" i="11"/>
  <c r="F21" i="11"/>
  <c r="F22" i="11"/>
  <c r="F23" i="11"/>
  <c r="F24" i="11"/>
  <c r="C40" i="11"/>
  <c r="F9" i="36"/>
  <c r="F10" i="36"/>
  <c r="F11" i="36"/>
  <c r="F16" i="36"/>
  <c r="F17" i="36"/>
  <c r="F21" i="36"/>
  <c r="F26" i="36"/>
  <c r="F27" i="36"/>
  <c r="F31" i="36"/>
  <c r="F32" i="36"/>
  <c r="F40" i="36"/>
  <c r="F41" i="36"/>
  <c r="F42" i="36"/>
  <c r="F43" i="36"/>
  <c r="F44" i="36"/>
  <c r="F45" i="36"/>
  <c r="F46" i="36"/>
  <c r="F47" i="36"/>
  <c r="F48" i="36"/>
  <c r="F49" i="36"/>
  <c r="F58" i="36"/>
  <c r="F68" i="36"/>
  <c r="F69" i="36"/>
  <c r="F73" i="36"/>
  <c r="F76" i="36"/>
  <c r="F81" i="36"/>
  <c r="F98" i="36"/>
  <c r="C101" i="36"/>
  <c r="J31" i="41" s="1"/>
  <c r="G7" i="9"/>
  <c r="G8" i="9"/>
  <c r="G11" i="9"/>
  <c r="G12" i="9"/>
  <c r="G46" i="9"/>
  <c r="G47" i="9"/>
  <c r="D48" i="9"/>
  <c r="J30" i="41" s="1"/>
  <c r="J32" i="41"/>
  <c r="J33" i="41"/>
  <c r="J40" i="41"/>
  <c r="J43" i="41"/>
  <c r="J11" i="39"/>
  <c r="J12" i="39"/>
  <c r="J18" i="39"/>
  <c r="J22" i="39"/>
  <c r="J23" i="39"/>
  <c r="J25" i="39"/>
  <c r="J26" i="39"/>
  <c r="J38" i="39"/>
  <c r="J56" i="39"/>
  <c r="J58" i="39"/>
  <c r="J60" i="39"/>
  <c r="J61" i="39"/>
  <c r="J62" i="39"/>
  <c r="J63" i="39"/>
  <c r="J65" i="39"/>
  <c r="J66" i="39"/>
  <c r="J67" i="39"/>
  <c r="J72" i="39"/>
  <c r="J73" i="39"/>
  <c r="J74" i="39"/>
  <c r="J75" i="39"/>
  <c r="J77" i="39"/>
  <c r="J82" i="39"/>
  <c r="J83" i="39"/>
  <c r="J84" i="39"/>
  <c r="J85" i="39"/>
  <c r="J86" i="39"/>
  <c r="J87" i="39"/>
  <c r="J88" i="39"/>
  <c r="J93" i="39"/>
  <c r="J95" i="39"/>
  <c r="J100" i="39"/>
  <c r="J115" i="39"/>
  <c r="J116" i="39"/>
  <c r="J117" i="39"/>
  <c r="J118" i="39"/>
  <c r="J119" i="39"/>
  <c r="J120" i="39"/>
  <c r="J121" i="39"/>
  <c r="J122" i="39"/>
  <c r="J123" i="39"/>
  <c r="J124" i="39"/>
  <c r="J125" i="39"/>
  <c r="K43" i="41"/>
  <c r="G51" i="41"/>
  <c r="D54" i="41"/>
  <c r="J54" i="41"/>
  <c r="K54" i="41"/>
  <c r="M54" i="41" s="1"/>
  <c r="J94" i="39"/>
  <c r="F12" i="14"/>
  <c r="K33" i="41"/>
  <c r="F36" i="12"/>
  <c r="I129" i="39"/>
  <c r="F10" i="41" s="1"/>
  <c r="F34" i="14"/>
  <c r="F25" i="36"/>
  <c r="F32" i="25"/>
  <c r="F10" i="12"/>
  <c r="F32" i="41"/>
  <c r="H26" i="24"/>
  <c r="H31" i="24" s="1"/>
  <c r="K13" i="41" s="1"/>
  <c r="E8" i="41"/>
  <c r="E28" i="36"/>
  <c r="F28" i="36" s="1"/>
  <c r="J25" i="24"/>
  <c r="G17" i="39"/>
  <c r="H17" i="39"/>
  <c r="J24" i="39"/>
  <c r="I17" i="39"/>
  <c r="D28" i="12"/>
  <c r="D38" i="12" s="1"/>
  <c r="K30" i="41"/>
  <c r="E78" i="14"/>
  <c r="E88" i="14" s="1"/>
  <c r="AW51" i="60" l="1"/>
  <c r="M23" i="41"/>
  <c r="G6" i="40"/>
  <c r="F21" i="52"/>
  <c r="H19" i="52"/>
  <c r="F31" i="41"/>
  <c r="E20" i="58"/>
  <c r="G54" i="41"/>
  <c r="M33" i="41"/>
  <c r="E66" i="40"/>
  <c r="D78" i="36"/>
  <c r="E34" i="36"/>
  <c r="E37" i="36" s="1"/>
  <c r="F97" i="14"/>
  <c r="F10" i="13"/>
  <c r="AP57" i="60"/>
  <c r="AR54" i="60"/>
  <c r="AX51" i="60"/>
  <c r="AT54" i="60"/>
  <c r="AV51" i="60"/>
  <c r="AS57" i="60"/>
  <c r="AW54" i="60"/>
  <c r="X57" i="60"/>
  <c r="Z54" i="60"/>
  <c r="BK57" i="59"/>
  <c r="BL54" i="59"/>
  <c r="I87" i="54"/>
  <c r="G101" i="54"/>
  <c r="G96" i="54"/>
  <c r="G42" i="54"/>
  <c r="G37" i="54"/>
  <c r="G136" i="49"/>
  <c r="G74" i="50"/>
  <c r="G77" i="50"/>
  <c r="G78" i="50" s="1"/>
  <c r="G37" i="50"/>
  <c r="G76" i="50"/>
  <c r="G116" i="49"/>
  <c r="G61" i="49"/>
  <c r="G139" i="49" s="1"/>
  <c r="E114" i="51"/>
  <c r="F118" i="31"/>
  <c r="G118" i="31" s="1"/>
  <c r="G115" i="31"/>
  <c r="G33" i="31"/>
  <c r="G25" i="31"/>
  <c r="M40" i="41"/>
  <c r="G17" i="31"/>
  <c r="M39" i="41"/>
  <c r="K44" i="41"/>
  <c r="L41" i="41"/>
  <c r="M41" i="41" s="1"/>
  <c r="M43" i="41"/>
  <c r="G40" i="31"/>
  <c r="L37" i="41"/>
  <c r="M37" i="41" s="1"/>
  <c r="J44" i="41"/>
  <c r="G13" i="40"/>
  <c r="G29" i="41"/>
  <c r="G31" i="41"/>
  <c r="F66" i="40"/>
  <c r="G41" i="40"/>
  <c r="G32" i="41"/>
  <c r="G49" i="40"/>
  <c r="G65" i="40"/>
  <c r="D66" i="40"/>
  <c r="E31" i="11"/>
  <c r="F31" i="11" s="1"/>
  <c r="J10" i="24"/>
  <c r="G26" i="24"/>
  <c r="G31" i="24" s="1"/>
  <c r="J13" i="41" s="1"/>
  <c r="F32" i="22"/>
  <c r="D89" i="14"/>
  <c r="C89" i="14"/>
  <c r="J11" i="41" s="1"/>
  <c r="F9" i="14"/>
  <c r="C99" i="14"/>
  <c r="D99" i="14"/>
  <c r="K11" i="41"/>
  <c r="F88" i="14"/>
  <c r="E89" i="14"/>
  <c r="L11" i="41" s="1"/>
  <c r="F24" i="14"/>
  <c r="F78" i="14"/>
  <c r="M35" i="41"/>
  <c r="C15" i="13"/>
  <c r="E15" i="13"/>
  <c r="F15" i="13" s="1"/>
  <c r="D25" i="13"/>
  <c r="F14" i="13"/>
  <c r="F23" i="13"/>
  <c r="L10" i="41"/>
  <c r="M10" i="41" s="1"/>
  <c r="E28" i="12"/>
  <c r="E38" i="12" s="1"/>
  <c r="F38" i="12" s="1"/>
  <c r="K9" i="41"/>
  <c r="F13" i="11"/>
  <c r="C31" i="11"/>
  <c r="C32" i="11" s="1"/>
  <c r="F40" i="11"/>
  <c r="M32" i="41"/>
  <c r="F10" i="11"/>
  <c r="F64" i="36"/>
  <c r="C79" i="36"/>
  <c r="C86" i="36" s="1"/>
  <c r="F78" i="36"/>
  <c r="F74" i="36"/>
  <c r="F20" i="36"/>
  <c r="K36" i="41"/>
  <c r="F23" i="36"/>
  <c r="M31" i="41"/>
  <c r="F101" i="36"/>
  <c r="F12" i="36"/>
  <c r="C38" i="36"/>
  <c r="C55" i="36" s="1"/>
  <c r="D38" i="36"/>
  <c r="D55" i="36" s="1"/>
  <c r="F65" i="36"/>
  <c r="J36" i="41"/>
  <c r="F54" i="36"/>
  <c r="D79" i="36"/>
  <c r="D86" i="36" s="1"/>
  <c r="I8" i="39"/>
  <c r="J28" i="39"/>
  <c r="G8" i="39"/>
  <c r="G53" i="39" s="1"/>
  <c r="D7" i="41" s="1"/>
  <c r="D24" i="41" s="1"/>
  <c r="J126" i="39"/>
  <c r="F30" i="36"/>
  <c r="H8" i="39"/>
  <c r="J8" i="39" s="1"/>
  <c r="E33" i="36"/>
  <c r="F33" i="36" s="1"/>
  <c r="J70" i="39"/>
  <c r="J17" i="39"/>
  <c r="F34" i="36"/>
  <c r="G6" i="41"/>
  <c r="J103" i="39"/>
  <c r="G10" i="41"/>
  <c r="J129" i="39"/>
  <c r="H53" i="39"/>
  <c r="H130" i="39" s="1"/>
  <c r="G8" i="41"/>
  <c r="G9" i="41"/>
  <c r="J113" i="39"/>
  <c r="J33" i="39"/>
  <c r="K6" i="41"/>
  <c r="E50" i="9"/>
  <c r="L30" i="41"/>
  <c r="L36" i="41" s="1"/>
  <c r="F40" i="9"/>
  <c r="F50" i="9" s="1"/>
  <c r="D40" i="9"/>
  <c r="G10" i="9"/>
  <c r="G48" i="9"/>
  <c r="J18" i="58"/>
  <c r="J23" i="58"/>
  <c r="E23" i="58"/>
  <c r="E18" i="58"/>
  <c r="I53" i="39"/>
  <c r="D42" i="11"/>
  <c r="K8" i="41"/>
  <c r="E30" i="41"/>
  <c r="E45" i="41" s="1"/>
  <c r="F14" i="36"/>
  <c r="J9" i="41"/>
  <c r="L38" i="41"/>
  <c r="F84" i="36"/>
  <c r="E85" i="36"/>
  <c r="G130" i="39"/>
  <c r="C25" i="13"/>
  <c r="G39" i="9"/>
  <c r="F11" i="54"/>
  <c r="G12" i="54"/>
  <c r="G10" i="54" s="1"/>
  <c r="F24" i="57"/>
  <c r="J24" i="57"/>
  <c r="J28" i="57" s="1"/>
  <c r="K14" i="41"/>
  <c r="M14" i="41" s="1"/>
  <c r="L42" i="41"/>
  <c r="M42" i="41" s="1"/>
  <c r="I31" i="24"/>
  <c r="J10" i="41"/>
  <c r="L12" i="41"/>
  <c r="M12" i="41" s="1"/>
  <c r="F87" i="14"/>
  <c r="G100" i="49"/>
  <c r="E70" i="51"/>
  <c r="G14" i="52"/>
  <c r="E17" i="54"/>
  <c r="E16" i="54" s="1"/>
  <c r="G25" i="54"/>
  <c r="F36" i="36"/>
  <c r="G42" i="49"/>
  <c r="G54" i="49"/>
  <c r="F25" i="54"/>
  <c r="F17" i="54" s="1"/>
  <c r="F16" i="54" s="1"/>
  <c r="G33" i="54"/>
  <c r="F17" i="51"/>
  <c r="E48" i="51"/>
  <c r="G90" i="54"/>
  <c r="G104" i="54"/>
  <c r="J32" i="57"/>
  <c r="J17" i="57"/>
  <c r="G138" i="49"/>
  <c r="F34" i="51"/>
  <c r="H17" i="57"/>
  <c r="F10" i="54"/>
  <c r="G23" i="54"/>
  <c r="G18" i="54" s="1"/>
  <c r="H28" i="57"/>
  <c r="G53" i="50"/>
  <c r="G22" i="49"/>
  <c r="F58" i="41" l="1"/>
  <c r="C7" i="45"/>
  <c r="J20" i="58"/>
  <c r="G11" i="54"/>
  <c r="K45" i="41"/>
  <c r="E25" i="13"/>
  <c r="F25" i="13"/>
  <c r="L9" i="41"/>
  <c r="M9" i="41" s="1"/>
  <c r="F28" i="12"/>
  <c r="AT57" i="60"/>
  <c r="AX54" i="60"/>
  <c r="AV54" i="60"/>
  <c r="G140" i="49"/>
  <c r="G80" i="50" s="1"/>
  <c r="E32" i="11"/>
  <c r="L8" i="41" s="1"/>
  <c r="M8" i="41" s="1"/>
  <c r="F9" i="54"/>
  <c r="G16" i="54"/>
  <c r="G9" i="54" s="1"/>
  <c r="I69" i="54" s="1"/>
  <c r="E9" i="54"/>
  <c r="G62" i="49"/>
  <c r="G13" i="52"/>
  <c r="G18" i="52"/>
  <c r="J27" i="52"/>
  <c r="G16" i="52"/>
  <c r="G10" i="52"/>
  <c r="G19" i="52"/>
  <c r="J45" i="41"/>
  <c r="F30" i="41"/>
  <c r="F45" i="41" s="1"/>
  <c r="G45" i="41" s="1"/>
  <c r="G34" i="40"/>
  <c r="D30" i="41"/>
  <c r="D45" i="41" s="1"/>
  <c r="D57" i="41" s="1"/>
  <c r="G40" i="9"/>
  <c r="F89" i="14"/>
  <c r="E99" i="14"/>
  <c r="F99" i="14" s="1"/>
  <c r="M11" i="41"/>
  <c r="M36" i="41"/>
  <c r="J8" i="41"/>
  <c r="C42" i="11"/>
  <c r="C87" i="36"/>
  <c r="C103" i="36" s="1"/>
  <c r="D87" i="36"/>
  <c r="F79" i="36"/>
  <c r="F37" i="36"/>
  <c r="E7" i="41"/>
  <c r="E24" i="41" s="1"/>
  <c r="E57" i="41" s="1"/>
  <c r="F29" i="36"/>
  <c r="L6" i="41"/>
  <c r="M6" i="41" s="1"/>
  <c r="M30" i="41"/>
  <c r="J6" i="41"/>
  <c r="D50" i="9"/>
  <c r="G50" i="9"/>
  <c r="G66" i="40"/>
  <c r="G15" i="52"/>
  <c r="G20" i="52"/>
  <c r="F48" i="51"/>
  <c r="F57" i="51" s="1"/>
  <c r="F65" i="51" s="1"/>
  <c r="F70" i="51" s="1"/>
  <c r="F77" i="51" s="1"/>
  <c r="F84" i="51" s="1"/>
  <c r="F91" i="51" s="1"/>
  <c r="F98" i="51" s="1"/>
  <c r="F106" i="51" s="1"/>
  <c r="F114" i="51" s="1"/>
  <c r="F121" i="51" s="1"/>
  <c r="F128" i="51" s="1"/>
  <c r="F134" i="51" s="1"/>
  <c r="F140" i="51" s="1"/>
  <c r="F146" i="51" s="1"/>
  <c r="J33" i="57"/>
  <c r="J31" i="24"/>
  <c r="L13" i="41"/>
  <c r="F85" i="36"/>
  <c r="E86" i="36"/>
  <c r="L44" i="41"/>
  <c r="M38" i="41"/>
  <c r="E18" i="36"/>
  <c r="F13" i="36"/>
  <c r="G17" i="54"/>
  <c r="G11" i="52"/>
  <c r="G12" i="52"/>
  <c r="G21" i="52"/>
  <c r="D103" i="36"/>
  <c r="K7" i="41"/>
  <c r="K24" i="41" s="1"/>
  <c r="J53" i="39"/>
  <c r="J130" i="39" s="1"/>
  <c r="F7" i="41"/>
  <c r="I130" i="39"/>
  <c r="H33" i="57"/>
  <c r="G81" i="50"/>
  <c r="G22" i="52" l="1"/>
  <c r="L58" i="41"/>
  <c r="C10" i="45"/>
  <c r="C11" i="45" s="1"/>
  <c r="D15" i="45" s="1"/>
  <c r="J7" i="41"/>
  <c r="J24" i="41" s="1"/>
  <c r="J57" i="41" s="1"/>
  <c r="K57" i="41"/>
  <c r="E42" i="11"/>
  <c r="G30" i="41"/>
  <c r="F42" i="11"/>
  <c r="L45" i="41"/>
  <c r="M44" i="41"/>
  <c r="M13" i="41"/>
  <c r="G7" i="41"/>
  <c r="F24" i="41"/>
  <c r="F18" i="36"/>
  <c r="F24" i="36" s="1"/>
  <c r="E38" i="36"/>
  <c r="F86" i="36"/>
  <c r="G24" i="41" l="1"/>
  <c r="F57" i="41"/>
  <c r="F38" i="36"/>
  <c r="E55" i="36"/>
  <c r="M45" i="41"/>
  <c r="E21" i="58" l="1"/>
  <c r="E22" i="58" s="1"/>
  <c r="F59" i="41"/>
  <c r="G57" i="41"/>
  <c r="F55" i="36"/>
  <c r="E87" i="36"/>
  <c r="L7" i="41" l="1"/>
  <c r="E103" i="36"/>
  <c r="F103" i="36" s="1"/>
  <c r="F87" i="36"/>
  <c r="M7" i="41" l="1"/>
  <c r="L24" i="41"/>
  <c r="M24" i="41" l="1"/>
  <c r="L57" i="41"/>
  <c r="J21" i="58" l="1"/>
  <c r="J22" i="58" s="1"/>
  <c r="M57" i="41"/>
  <c r="E152" i="51"/>
  <c r="F152" i="51" s="1"/>
  <c r="F158" i="51" s="1"/>
  <c r="F164" i="51" s="1"/>
  <c r="F172" i="51" s="1"/>
  <c r="F180" i="51" s="1"/>
</calcChain>
</file>

<file path=xl/sharedStrings.xml><?xml version="1.0" encoding="utf-8"?>
<sst xmlns="http://schemas.openxmlformats.org/spreadsheetml/2006/main" count="3509" uniqueCount="1983">
  <si>
    <t>FELHALMOZÁSI CÉLÚ ÁTVETT PÉNZESZKÖZÖK ÖSSZESEN</t>
  </si>
  <si>
    <t>FELHALMOZÁSI BEVÉTELEK MINDÖSSZESEN</t>
  </si>
  <si>
    <t>Óvodai és Iskolai úszásoktatás feladatai</t>
  </si>
  <si>
    <t>Arany János ösztöndíj</t>
  </si>
  <si>
    <t>Oktatási intézmények összesen</t>
  </si>
  <si>
    <t>Savaria Múzeum összesen</t>
  </si>
  <si>
    <t>Berzsenyi Dániel könyvtár központi támogatásból fedezett kiadás</t>
  </si>
  <si>
    <t>Capella Savaria</t>
  </si>
  <si>
    <t>Ferrum Színházi Társulat</t>
  </si>
  <si>
    <t>Kulturális intézmények összesen</t>
  </si>
  <si>
    <t>Kulturális ágazat kiadásai mindösszesen</t>
  </si>
  <si>
    <t>Savaria Turizmus Nonprofit Kft - támogatása</t>
  </si>
  <si>
    <t>Parkolásgazdálkodási kiadás</t>
  </si>
  <si>
    <t>SZMJV Bűnmegelőzési és Közbiztonsági Cselekvési programjának a fedezete, 
melynek része a pályázati önrész</t>
  </si>
  <si>
    <t>Külterületi utak fenntartása</t>
  </si>
  <si>
    <t>Csapadékvízelvezetés fejlesztése</t>
  </si>
  <si>
    <t>út, járda, kerékpárút, parkoló, közvilágítási építési és felújítási program</t>
  </si>
  <si>
    <t>Óvoda adminisztrációs szoftver</t>
  </si>
  <si>
    <t>Nyugat Magyarországi Egyetem közösségi szolgálat támogatás</t>
  </si>
  <si>
    <t>Áfa befizetés (saját bevételből)</t>
  </si>
  <si>
    <t>Intézményi vagyonbiztosítások</t>
  </si>
  <si>
    <t>Városfejlesztési célok (helyi építészeti értékek védelme)</t>
  </si>
  <si>
    <t>Oktatási intézmények összesen:</t>
  </si>
  <si>
    <t>Egészségügyi ágazat kiadásai mindösszesen</t>
  </si>
  <si>
    <t xml:space="preserve">Oktatási ágazat </t>
  </si>
  <si>
    <t>Pedagódus továbbképzés</t>
  </si>
  <si>
    <t>Szociális ágazat kiadásai mindösszesen</t>
  </si>
  <si>
    <t>Oktatási ágazat kiadásai mindösszesen</t>
  </si>
  <si>
    <t>SZMJV Településfejlesztési koncepciójának és programjának elkészítése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</si>
  <si>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</si>
  <si>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</si>
  <si>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</si>
  <si>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</si>
  <si>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</si>
  <si>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</si>
  <si>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</si>
  <si>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</si>
  <si>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 xml:space="preserve">Oktatási kiadások összesen </t>
  </si>
  <si>
    <t>ezer forintban</t>
  </si>
  <si>
    <t>Felhalmozási kiadások</t>
  </si>
  <si>
    <t>Önkormányzat egyéb kiadásai (informatikai kiadások)</t>
  </si>
  <si>
    <t>2016. évi költségvetési támogatási előleg</t>
  </si>
  <si>
    <t>Vas Megyei Markusovszky Kórház Csecsemő- Gyermekosztály támogatása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</si>
  <si>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</si>
  <si>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</si>
  <si>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</si>
  <si>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</si>
  <si>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</si>
  <si>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</si>
  <si>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Nyilt árok tisztítás, árokrendezés 
(árvízvédelmi művek, berendezések karbantartása)</t>
  </si>
  <si>
    <t>Kiszámlázott és befizetendő áfa</t>
  </si>
  <si>
    <t>Vas megye és Szombathely Megyei Jogú Város Nyugdíjas Közösségeinek Szövetsége támogatása</t>
  </si>
  <si>
    <t>MJVSZ - Kárpátaljai Magyarok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</si>
  <si>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</si>
  <si>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</si>
  <si>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</si>
  <si>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</si>
  <si>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</si>
  <si>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</si>
  <si>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</si>
  <si>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</si>
  <si>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</si>
  <si>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Temetők sírhelyeladása, egyéb szolg.díja</t>
  </si>
  <si>
    <t>Költségvetési szervek bevételei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</si>
  <si>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</si>
  <si>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</si>
  <si>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</si>
  <si>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</si>
  <si>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</si>
  <si>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 xml:space="preserve">Települési önkormányzatok szociális, gyermekjóléti és gyermekétkeztetési  feladatainak támogatása 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</si>
  <si>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</si>
  <si>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</si>
  <si>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</si>
  <si>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</si>
  <si>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</si>
  <si>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</si>
  <si>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Költségvetési szerveknél foglalkoztatottak 2016. évi bérkompenzációja</t>
  </si>
  <si>
    <t>Nyugdíjasok háza befizetés</t>
  </si>
  <si>
    <t>Kéményseprő ipari közszolg.támogatása</t>
  </si>
  <si>
    <t>Könyvtári érdekeltségnövelő támogatás</t>
  </si>
  <si>
    <t xml:space="preserve">     Beruházások  összesen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</si>
  <si>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</si>
  <si>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</si>
  <si>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</si>
  <si>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</si>
  <si>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</si>
  <si>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</si>
  <si>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</si>
  <si>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</si>
  <si>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</si>
  <si>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</si>
  <si>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Országos tan.versenyen eredményesen szereplő diákok és felkészítő tanárok jutalmazása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</si>
  <si>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</si>
  <si>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</si>
  <si>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</si>
  <si>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</si>
  <si>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</si>
  <si>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</si>
  <si>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Nyugat-Pannon Járműipari és Mechatronikai Központ Szolgáltató Nonprofit Kft. Támogatása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</si>
  <si>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</si>
  <si>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</si>
  <si>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</si>
  <si>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</si>
  <si>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</si>
  <si>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</si>
  <si>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</si>
  <si>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Önkormányzati sport kitüntetés</t>
  </si>
  <si>
    <t>Sugár úti Sportcentrum üzemeltetéséhez kapacitás lekötés</t>
  </si>
  <si>
    <t>Panel program - 2009.évi</t>
  </si>
  <si>
    <t>Tartalékok</t>
  </si>
  <si>
    <t xml:space="preserve"> </t>
  </si>
  <si>
    <t>Drogellenes stratégiai feladatok</t>
  </si>
  <si>
    <t>Csaba Úti felüljáró fenntartása, karbantartása</t>
  </si>
  <si>
    <t>Munkáltatói kölcsön</t>
  </si>
  <si>
    <t xml:space="preserve">Stromfeldtől északra eső ter. csapvíz elvezetés 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</si>
  <si>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</si>
  <si>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</si>
  <si>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</si>
  <si>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</si>
  <si>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</si>
  <si>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</si>
  <si>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</si>
  <si>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</si>
  <si>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</si>
  <si>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 xml:space="preserve">Mindösszesen:          </t>
  </si>
  <si>
    <t>Jelzőlámpák</t>
  </si>
  <si>
    <t>Burkolati jelek festése</t>
  </si>
  <si>
    <t>Posta költség</t>
  </si>
  <si>
    <t>Egyesített Bölcsődei Intézmény</t>
  </si>
  <si>
    <t>Vásárcsarnok</t>
  </si>
  <si>
    <t>Helyiségek és lakások bérleti díja</t>
  </si>
  <si>
    <t>Földhaszonbérlet</t>
  </si>
  <si>
    <t>Intézményi karbantartás</t>
  </si>
  <si>
    <t>Egészség-hét</t>
  </si>
  <si>
    <t>Egyéb rendezvények</t>
  </si>
  <si>
    <t>Humán Civil ház</t>
  </si>
  <si>
    <t>Kiegészítő gyermekvédelmi támogatás</t>
  </si>
  <si>
    <t>Segély önkormányzati támogatásból</t>
  </si>
  <si>
    <t>Szociális ágazat</t>
  </si>
  <si>
    <t>Kulturális kiadások, közös fenntartású megyei intézmények, média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</si>
  <si>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</si>
  <si>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</si>
  <si>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</si>
  <si>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</si>
  <si>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</si>
  <si>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</si>
  <si>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</si>
  <si>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</si>
  <si>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</si>
  <si>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</si>
  <si>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</si>
  <si>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</si>
  <si>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</si>
  <si>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</si>
  <si>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</si>
  <si>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</si>
  <si>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</si>
  <si>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</si>
  <si>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</si>
  <si>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</si>
  <si>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</si>
  <si>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</si>
  <si>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</si>
  <si>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</si>
  <si>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</si>
  <si>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</si>
  <si>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</si>
  <si>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</si>
  <si>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</si>
  <si>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</si>
  <si>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Folyószámla hitel kamata, bankköltségek</t>
  </si>
  <si>
    <t>Szociális Szolgáltató Központ, Váci M.u. 1-3 III.sz. Idősek Klubja akadálymentesítése önerő+támogatás</t>
  </si>
  <si>
    <t>Tervezések hatósági díja lejáró engedélyekhez</t>
  </si>
  <si>
    <t>2016.évi</t>
  </si>
  <si>
    <t>Lakás és helységüzemeltetés veszteség pótlás</t>
  </si>
  <si>
    <t>Közterület-felügyelet átjátszó bérleti díj</t>
  </si>
  <si>
    <t>Intézmények vírusvédelmi rendszerének licence díja</t>
  </si>
  <si>
    <t xml:space="preserve">               </t>
  </si>
  <si>
    <t>Szombathelypont facebook reklám, angol fordítás</t>
  </si>
  <si>
    <t>KLIK Micimackó óvoda párátlanító berendezéshez támogatás</t>
  </si>
  <si>
    <t>Markusovszky kórház támogatása</t>
  </si>
  <si>
    <t>Markusovszky u. híd felújítása</t>
  </si>
  <si>
    <t>Körmendi u. - Szent Gellért u. - Diófa u. - Újvilág u. - Pásztor u. kerékpárút szakasz kiváltása - kiviteli tervek</t>
  </si>
  <si>
    <t>Helyi esélyegyenlőségi program intézkedési tervének végrehajtása</t>
  </si>
  <si>
    <t>Buszmegálló kialakítása</t>
  </si>
  <si>
    <t>I. világháborús emlékmű + Pápa látogatás évfordulójára köztéri alkotások elhelyezése</t>
  </si>
  <si>
    <t>Városmakett</t>
  </si>
  <si>
    <t>Csónakázó-tó utcabútorzat beszerzése</t>
  </si>
  <si>
    <t>Városi térfigyelő kamera rendszer továbbfejlesztése</t>
  </si>
  <si>
    <t>Oktatási intézmények informatrikai labor kialakítás</t>
  </si>
  <si>
    <t xml:space="preserve">Oktatási intézmények tantermi bútorok beszerzése </t>
  </si>
  <si>
    <t>Általános Iskolák és Gimnáziumok informatikai eszközfejlesztés</t>
  </si>
  <si>
    <t>Óvodák oktatási informatikai eszközfejlesztése</t>
  </si>
  <si>
    <t>Nem oktatási intézmények eszközfejlesztése</t>
  </si>
  <si>
    <t>szombathely.hu portál fejlesztés</t>
  </si>
  <si>
    <t>szentmarton.hu portál fejlesztés</t>
  </si>
  <si>
    <t>Petz ösztöndíj</t>
  </si>
  <si>
    <t>Erdőgazdálkodási költség</t>
  </si>
  <si>
    <t>Önkormányzati konferenciák, rendezvények, fogadások</t>
  </si>
  <si>
    <t>Csapadékvízelv. és fürdőüzemeltetés</t>
  </si>
  <si>
    <t>Temetkezés és ezzel kapcsolatos szolg.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</si>
  <si>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</si>
  <si>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</si>
  <si>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</si>
  <si>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</si>
  <si>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</si>
  <si>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</si>
  <si>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</si>
  <si>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</si>
  <si>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</si>
  <si>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Nyugat Magyarországi Egyetem - Bólyai Gimn. - étkezési hozzájárulás támogatás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</si>
  <si>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</si>
  <si>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</si>
  <si>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</si>
  <si>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</si>
  <si>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</si>
  <si>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Apáczai Csere János Alapítvány támogatása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</si>
  <si>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</si>
  <si>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</si>
  <si>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</si>
  <si>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</si>
  <si>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Helyi önkormányzatok működésének általános támogatása</t>
  </si>
  <si>
    <t>Települési önkormányzatok egyes köznevelési feladatainak támogatása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</si>
  <si>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</si>
  <si>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</si>
  <si>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</si>
  <si>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</si>
  <si>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</si>
  <si>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</si>
  <si>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</si>
  <si>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</si>
  <si>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</si>
  <si>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</si>
  <si>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</si>
  <si>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</si>
  <si>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</si>
  <si>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</si>
  <si>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</si>
  <si>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</si>
  <si>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</si>
  <si>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</si>
  <si>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</si>
  <si>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</si>
  <si>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</si>
  <si>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</si>
  <si>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EBBŐL:Pénzbeli szociális ellátások kiegészítése</t>
  </si>
  <si>
    <t xml:space="preserve">             Szociális ágazati pótlék</t>
  </si>
  <si>
    <t>Prémium évek program</t>
  </si>
  <si>
    <t xml:space="preserve">Pécsi Tudományegyetem Egészségtudományi Kar Szombathelyi Képzési Központ támogatása </t>
  </si>
  <si>
    <t>Savaria Fórum</t>
  </si>
  <si>
    <r>
      <t>Szombathely a segítés városa program támogatása</t>
    </r>
    <r>
      <rPr>
        <b/>
        <i/>
        <sz val="12"/>
        <rFont val="Arial CE"/>
        <charset val="238"/>
      </rPr>
      <t xml:space="preserve"> 2015. évi központosított előirányzatból</t>
    </r>
  </si>
  <si>
    <t xml:space="preserve">Nyugat dunántúli Regionális Hulladékgazdálkodási projekt - hozzájárulás </t>
  </si>
  <si>
    <t>Felhalmozási célú maradvány</t>
  </si>
  <si>
    <t>Vásárok, rendezvények, karácsonyi díszkivilágítás</t>
  </si>
  <si>
    <t>TIOP pályázat keretében beszerzésre került eszközök karbantartása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</si>
  <si>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</si>
  <si>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</si>
  <si>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</si>
  <si>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</si>
  <si>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2016.</t>
  </si>
  <si>
    <t>2015.</t>
  </si>
  <si>
    <t>Mindösszesen</t>
  </si>
  <si>
    <t>Közösségi közlekedés (buszmegállók kialakítása, leszálló szigetek helyreállítása, kialakítása)</t>
  </si>
  <si>
    <t>Egyházak támogatása</t>
  </si>
  <si>
    <t>EBBŐL:2015.évről áthúzódó bérkompenzáció támogatása</t>
  </si>
  <si>
    <t>Állami támogatás 2015.évi elszámolás alapján</t>
  </si>
  <si>
    <t>Osztalék bevétel</t>
  </si>
  <si>
    <t>Jövedéki adó - Magánfőzött párlat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</si>
  <si>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</si>
  <si>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</si>
  <si>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</si>
  <si>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</si>
  <si>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</si>
  <si>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</si>
  <si>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Folyékony hulladékgyűjtés</t>
  </si>
  <si>
    <t>összesen: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</si>
  <si>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</si>
  <si>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</si>
  <si>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</si>
  <si>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</si>
  <si>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</si>
  <si>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Nemzetiségi önkormányzatok működéséhez tartalék</t>
  </si>
  <si>
    <t>Önkormányzati támogatások rendszere</t>
  </si>
  <si>
    <t>Office 365 rendszer működtetése</t>
  </si>
  <si>
    <t>Integrált pénzügyi rendszer üzemeltetés az intézményekben</t>
  </si>
  <si>
    <t>Városi Rekreációs Programok (SEK Sportegyesület)</t>
  </si>
  <si>
    <t>Szomhull illegális hulladéklerakás</t>
  </si>
  <si>
    <t>Zajvizsgálatok</t>
  </si>
  <si>
    <t>Forgalmi rend felülvizsgálata</t>
  </si>
  <si>
    <t>EPCOS ingatlan vásárlás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</si>
  <si>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</si>
  <si>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</si>
  <si>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</si>
  <si>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</si>
  <si>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</si>
  <si>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</si>
  <si>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</si>
  <si>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</si>
  <si>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Szombathelyi Médiaközpont Nonprofit Kft. Támogatása</t>
  </si>
  <si>
    <t>Szociális intézmény összesen</t>
  </si>
  <si>
    <t>Működési kiadások</t>
  </si>
  <si>
    <t>Támogatások elszámolása</t>
  </si>
  <si>
    <t>Egészségügyi intézmény összesen</t>
  </si>
  <si>
    <t>Oktatási intézmények vis maior kerete</t>
  </si>
  <si>
    <t>SNI gyermekek szakszolgálati ellátása</t>
  </si>
  <si>
    <t>Honvédelmi nevelés a gimnáziumokban</t>
  </si>
  <si>
    <t>Önkormányzati gyermekvédelmi kiadások összesen</t>
  </si>
  <si>
    <t>Gyermekvédelmi működési kiadások összesen</t>
  </si>
  <si>
    <t xml:space="preserve">Áfa visszaigénylés </t>
  </si>
  <si>
    <t>Oktatási működési kiadásai mindösszesen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</si>
  <si>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</si>
  <si>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</si>
  <si>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</si>
  <si>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</si>
  <si>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intézmény összesen</t>
  </si>
  <si>
    <t>Gyermekvédelmi ágazat kiadásai mindösszesen</t>
  </si>
  <si>
    <t>Egyéb, más ágazathoz nem sorolható intézmény kiadásai összesen</t>
  </si>
  <si>
    <t>Berzsenyi Dániel Könyvtár összesen</t>
  </si>
  <si>
    <t>Volt városi strand  területén kialakítandó projekt tervezés</t>
  </si>
  <si>
    <t>0632/11, 0632/13, 0632/31 hrsz ingatlanok vételárának kifizetése (Csónakázó tó)</t>
  </si>
  <si>
    <t>Vízközmű-használati díj terhére végzett beruházás - fordított áfa kiadás</t>
  </si>
  <si>
    <t>Egyéb, más ágazathoz nem sorolható intézmények és feladatok kiadásai mindösszesen</t>
  </si>
  <si>
    <t>Egyéb más ágazathoz nem sorolható feladatok és intézmények működési kiadásai összesen</t>
  </si>
  <si>
    <t>Szombathelyi Élelmiszeripari és Födmérési Szakképző Iskola és Kollégium - tanüzem karbant.</t>
  </si>
  <si>
    <t>Haladás Futball Kft. - játékos eladásból származó bevétel</t>
  </si>
  <si>
    <t>Világháborús emlékművek, szobrok helyreállítása</t>
  </si>
  <si>
    <t>Aranyhíd Nevelési-Oktatási Integrációs Központ felújítása, átalakítása tervezési költségeinek előirányzata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</si>
  <si>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</si>
  <si>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</si>
  <si>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</si>
  <si>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I. ütem</t>
  </si>
  <si>
    <t>URBACT III program Disarned cities projekt támogatás II. ütem</t>
  </si>
  <si>
    <t>Mezőőri szolgálat létrehozásának és működtetésének támogatása</t>
  </si>
  <si>
    <t>Pályázati díj</t>
  </si>
  <si>
    <t>Szent Márton kártya értékesítése</t>
  </si>
  <si>
    <t>Szent Márton Emlékévhez kapcsolódó beruházások után áfa visszaigénylés</t>
  </si>
  <si>
    <t>Szent Márton Emlékévhez kapcsolódó beruházások után</t>
  </si>
  <si>
    <t>Szombathelyi Parkfenntartási és Temetkezési  Kft. tagi kölcsön visszatérülés (tőketörlesztés)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</si>
  <si>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</si>
  <si>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</si>
  <si>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</si>
  <si>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</si>
  <si>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</si>
  <si>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</si>
  <si>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</si>
  <si>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</si>
  <si>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>URBACT III program Disarmed citis projekt (önerő+támogatás) I.ütem</t>
  </si>
  <si>
    <t>Iseum Rallye</t>
  </si>
  <si>
    <t xml:space="preserve">Sport létesítmény üzemeltetés </t>
  </si>
  <si>
    <t>FALCO imisszió folyamatos mérése</t>
  </si>
  <si>
    <t xml:space="preserve">Teljes pályaszerkezet helyreállítás </t>
  </si>
  <si>
    <t>Járászszékhely települési önkormányzatok által fenntartott múzeumok szakmai támogatása</t>
  </si>
  <si>
    <t>Domus Üzletközpont (városi térfigyelő kamerarendszer továbbfejlesztéséhez)</t>
  </si>
  <si>
    <t>Köznevelési GAMESZ</t>
  </si>
  <si>
    <t>Szent Kvirin Szalézi Plébánia támogatása</t>
  </si>
  <si>
    <t>Béri Balog Ádám u. járdafelújítás</t>
  </si>
  <si>
    <t>Gyalogátkelőhelyek akadálymentesítése - helyi esélyegyenlőségi program keretében</t>
  </si>
  <si>
    <t>Herényi temető bővítés</t>
  </si>
  <si>
    <t>TOP projektek auditálási kiadásai</t>
  </si>
  <si>
    <t>Egyéb finanszírozási műveletek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</si>
  <si>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</si>
  <si>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</si>
  <si>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</si>
  <si>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</si>
  <si>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</si>
  <si>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</si>
  <si>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</si>
  <si>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</si>
  <si>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</si>
  <si>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</si>
  <si>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</si>
  <si>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  Bevételek és finanszírozási műveletek összesen</t>
  </si>
  <si>
    <t xml:space="preserve">Központi költségvetés részére visszafizetési kötelezettség </t>
  </si>
  <si>
    <t>Felhalmozási bevételek</t>
  </si>
  <si>
    <t>Közbeszerzési kiadások</t>
  </si>
  <si>
    <t xml:space="preserve">Városi intézmény felújítási alap 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</si>
  <si>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</si>
  <si>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</si>
  <si>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</si>
  <si>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</si>
  <si>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</si>
  <si>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</si>
  <si>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</si>
  <si>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</si>
  <si>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</si>
  <si>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</si>
  <si>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</si>
  <si>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</si>
  <si>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</si>
  <si>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</si>
  <si>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</si>
  <si>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</si>
  <si>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</si>
  <si>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</si>
  <si>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</si>
  <si>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</si>
  <si>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</si>
  <si>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</si>
  <si>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</si>
  <si>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</si>
  <si>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</si>
  <si>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</si>
  <si>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>Városfejlesztési célok</t>
  </si>
  <si>
    <t xml:space="preserve">      Felhalmozási célú bevételek összesen :</t>
  </si>
  <si>
    <t xml:space="preserve">      Felhalmozási célú kiadások összesen :</t>
  </si>
  <si>
    <t>Sport</t>
  </si>
  <si>
    <t>eredeti ei.</t>
  </si>
  <si>
    <t>Út-híd fenntartási, felújítási kiadások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</si>
  <si>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</si>
  <si>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</si>
  <si>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</si>
  <si>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</si>
  <si>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</si>
  <si>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</si>
  <si>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</si>
  <si>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</si>
  <si>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</si>
  <si>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</si>
  <si>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</si>
  <si>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</si>
  <si>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intézmények összesen</t>
  </si>
  <si>
    <t>Egyéb, más ágazathoz nem sorolható intézmények és feladatok kiadásai</t>
  </si>
  <si>
    <t>MŰKÖDÉSI BEVÉTELEK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</si>
  <si>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</si>
  <si>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</si>
  <si>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</si>
  <si>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</si>
  <si>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ÁROP-1.A.3-2014-2014-0023 Partnerségi alapú esélyegyenlőségi programok a segítés városában és térségében</t>
  </si>
  <si>
    <t>SZOMHULL Nonprofit Kft. - pótbefizetés</t>
  </si>
  <si>
    <t>Szombathelypont.hu portál és mobilapplikáció karbantartás</t>
  </si>
  <si>
    <t>Térfigyelő kamerarendszer adatátviteli hálózat üzemeltetés</t>
  </si>
  <si>
    <t>Új tervezett térfigyelő kamerarendszer adatátviteli hálózat üzemeltetés</t>
  </si>
  <si>
    <t>FALCO KC Kft. pótbefizetés</t>
  </si>
  <si>
    <t>ÉNYKK  Zrt. - helyi tömegközlekedés támogatása</t>
  </si>
  <si>
    <t>Szent Márton Kártya kedvezmény megtérítés</t>
  </si>
  <si>
    <t>FALCO kártalanítás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</si>
  <si>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</si>
  <si>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</si>
  <si>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NYUDU - bérkompenzáció központosított előirányzatból</t>
  </si>
  <si>
    <t xml:space="preserve">Zanati városrészen lévő utcák kátyúzása </t>
  </si>
  <si>
    <t>Szent Márton kártya rendszer kialakítása</t>
  </si>
  <si>
    <t>Múzeális intézmények szakmai támogatása</t>
  </si>
  <si>
    <t>TIOP-1.2.1/A-12/1 számú "Agóra-multifunkcionális közösségi központok és területi közművelődési tanácsadó szolgálat infrastruktúrális feltételeinek kialakítása pályázati kiadások</t>
  </si>
  <si>
    <t>Víziközmű és szennyvízközmű használati díjbevétel</t>
  </si>
  <si>
    <t>Működési bevételek</t>
  </si>
  <si>
    <t>Közművelődési kiegészítő támogatás - Berzsenyi D. Könyvtár</t>
  </si>
  <si>
    <t>Savaria Múzeum saját bevételből fedezett kiadás</t>
  </si>
  <si>
    <t>Települési hulladékkezelés és köztisztasági tevékenység, és hóeltakarítás</t>
  </si>
  <si>
    <t>Nagyrendezvények</t>
  </si>
  <si>
    <t>Savaria Turizmus Nonprofit Kft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</si>
  <si>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</si>
  <si>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</si>
  <si>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</si>
  <si>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</si>
  <si>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Köznevelési feladatellátás ellenőrzése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</si>
  <si>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</si>
  <si>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</si>
  <si>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</si>
  <si>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</si>
  <si>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Városi Egészségfejlesztési Program megvalósítása</t>
  </si>
  <si>
    <t>Nemzetközi diákjátékok</t>
  </si>
  <si>
    <t>HVSE támogatása</t>
  </si>
  <si>
    <t>Viktória FC támogatása</t>
  </si>
  <si>
    <t>Vívók támogatása</t>
  </si>
  <si>
    <t>Sport ágazati TARTALÉK</t>
  </si>
  <si>
    <t>Városi rendezvények köztisztasági tevékenysége</t>
  </si>
  <si>
    <t>Környezetállapot értékelés (talaj, víz, levegő)</t>
  </si>
  <si>
    <t>Egészségügyi és Kulturális intézmények GESZ</t>
  </si>
  <si>
    <t>Általános tartalék</t>
  </si>
  <si>
    <t>Interreg projekt (Savaria Múzeum, Savaria Turizmus Nonprofit Kft.) önrész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</si>
  <si>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</si>
  <si>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</si>
  <si>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</si>
  <si>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</si>
  <si>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</si>
  <si>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</si>
  <si>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</si>
  <si>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</si>
  <si>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</si>
  <si>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</si>
  <si>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</si>
  <si>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</si>
  <si>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</si>
  <si>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</si>
  <si>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</si>
  <si>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</si>
  <si>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</si>
  <si>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</si>
  <si>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</si>
  <si>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</si>
  <si>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</si>
  <si>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</si>
  <si>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</si>
  <si>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</si>
  <si>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</si>
  <si>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</si>
  <si>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</si>
  <si>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</si>
  <si>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</si>
  <si>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</si>
  <si>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</si>
  <si>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</si>
  <si>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</si>
  <si>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</si>
  <si>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</si>
  <si>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működési támogatásból fedezett kiadása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</si>
  <si>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</si>
  <si>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</si>
  <si>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saját bevételéből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</si>
  <si>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</si>
  <si>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</si>
  <si>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saját bevételből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</si>
  <si>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</si>
  <si>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</si>
  <si>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AGORA Szombathelyi Kulturális Központ </t>
    </r>
    <r>
      <rPr>
        <b/>
        <sz val="12"/>
        <rFont val="Arial CE"/>
        <charset val="238"/>
      </rPr>
      <t>önkormányzati támogatásból fedezett kiadás</t>
    </r>
  </si>
  <si>
    <r>
      <t xml:space="preserve">Mesebolt Bábszínház </t>
    </r>
    <r>
      <rPr>
        <b/>
        <sz val="12"/>
        <rFont val="Arial CE"/>
        <charset val="238"/>
      </rPr>
      <t>önkormányzati támogatásból fedezett kiadás</t>
    </r>
  </si>
  <si>
    <r>
      <t xml:space="preserve">Szombathelyi Szimfónikus Zenekar </t>
    </r>
    <r>
      <rPr>
        <b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</si>
  <si>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sz val="12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</si>
  <si>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sz val="12"/>
        <rFont val="Arial CE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</si>
  <si>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</si>
  <si>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</si>
  <si>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intézményi saját bevételből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</si>
  <si>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önkormányzati támogatásból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</si>
  <si>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</si>
  <si>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</si>
  <si>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</si>
  <si>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</si>
  <si>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</si>
  <si>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 xml:space="preserve">            Bölcsődében foglalkoztatott felsőfokú végzettséggel rendelkező
            kisgyermeknevelők béréhez kapcsolódó támogatás</t>
  </si>
  <si>
    <t>Gencsapáti Község Önkormányzata - felnőtt háziorvosok ügyeleti díja</t>
  </si>
  <si>
    <t>Szombathelyi Kistérség Többcélú Társulása SZMJV Önkormányzata kilépésekor elszámolt összeg</t>
  </si>
  <si>
    <t xml:space="preserve">Savaria Városfejlesztési Kft. - tagi kölcsön </t>
  </si>
  <si>
    <t>Szombathelyi Parkfenntartási és Temetkezési  Kft. tagi kölcsön visszatérülés (törzstőke rendezéséhez)</t>
  </si>
  <si>
    <r>
      <t xml:space="preserve">Savaria Szimfónikus Zenekar </t>
    </r>
    <r>
      <rPr>
        <i/>
        <sz val="12"/>
        <rFont val="Arial"/>
        <family val="2"/>
        <charset val="238"/>
      </rPr>
      <t>2015.évi maradványból fedezett kiadás</t>
    </r>
  </si>
  <si>
    <t>Savaria Történelmi Karnevál Közhasznú Közalapítvány NKA pályázati önrész</t>
  </si>
  <si>
    <r>
      <t>Agora Szombathelyi Kulturális Központ</t>
    </r>
    <r>
      <rPr>
        <b/>
        <sz val="12"/>
        <rFont val="Arial"/>
        <family val="2"/>
        <charset val="238"/>
      </rPr>
      <t xml:space="preserve"> 2015.évi maradványból</t>
    </r>
    <r>
      <rPr>
        <i/>
        <sz val="12"/>
        <rFont val="Arial"/>
        <family val="2"/>
        <charset val="238"/>
      </rPr>
      <t xml:space="preserve">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</si>
  <si>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2015.évi maradványból</t>
    </r>
    <r>
      <rPr>
        <i/>
        <sz val="12"/>
        <rFont val="Arial"/>
        <family val="2"/>
        <charset val="238"/>
      </rPr>
      <t xml:space="preserve"> fedezett kiadás</t>
    </r>
  </si>
  <si>
    <t>Szünidei gyermekétkeztetés</t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</si>
  <si>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2015. évi maradványból fedezett kiadás</t>
    </r>
  </si>
  <si>
    <t>KEF működési feltételeinek biztosítása (EMMI pályázat)</t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</si>
  <si>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2015.évi maradványából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</si>
  <si>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2015.évi maradványából fedezett kiadás</t>
    </r>
  </si>
  <si>
    <t>Városfejlesztési Kft. - Tagi kölcsön nyújtása</t>
  </si>
  <si>
    <t>Sportkoncepió</t>
  </si>
  <si>
    <t>Tűzoltási felvonulási területek kialakítása</t>
  </si>
  <si>
    <t>Szombathely, Kőszeg u. 44.műemlék épület felújításának támogatása</t>
  </si>
  <si>
    <t xml:space="preserve">Nemzeti ovi foci - ovi sport program pályázati önrész </t>
  </si>
  <si>
    <t>Erdei Iskola északi lakóterület közműfejlesztés</t>
  </si>
  <si>
    <t>Tömbbelső felújítás</t>
  </si>
  <si>
    <t xml:space="preserve">Gyalogátkelőhelyek kialakítása </t>
  </si>
  <si>
    <t>SZTK épület közműveinek leszakaszolása</t>
  </si>
  <si>
    <t>Vak Bottyán u. Gyöngyös patak híd felújítás engedély, korsz.vizsg.,tervezői ktg.</t>
  </si>
  <si>
    <t>Szombathelyi Kőszegi u. 44.sz. alatti épület felújítása pályázat (önrész+támogatás)</t>
  </si>
  <si>
    <t>"Zöld városrész" projekt - akcióterületi terv</t>
  </si>
  <si>
    <t>2016.évi bérkiadások tartaléka (EBI - központi támogatásból)</t>
  </si>
  <si>
    <t xml:space="preserve">            Szociális ágazatban dolgozók részére nyújtott kiegészítő pótlék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</si>
  <si>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</si>
  <si>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</si>
  <si>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TÁMOGATÁSOK ÁLLAMHÁZTARTÁSON BELÜLRŐL ÖSSZESEN</t>
  </si>
  <si>
    <t>MŰKÖDÉSI CÉLÚ ÁTVETT PÉNZESZKÖZÖK</t>
  </si>
  <si>
    <t>Kamatmentes kölcsön visszatérülése - segély elszámolás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</si>
  <si>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</si>
  <si>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</si>
  <si>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</si>
  <si>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</si>
  <si>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</si>
  <si>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</si>
  <si>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</si>
  <si>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</si>
  <si>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</si>
  <si>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</si>
  <si>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</si>
  <si>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</si>
  <si>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</si>
  <si>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</si>
  <si>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>SZAK támogatás</t>
  </si>
  <si>
    <t xml:space="preserve"> MŰKÖDÉSI BEVÉTELEK</t>
  </si>
  <si>
    <t>B1</t>
  </si>
  <si>
    <t>B6</t>
  </si>
  <si>
    <t>B7</t>
  </si>
  <si>
    <t>B5</t>
  </si>
  <si>
    <t>B2</t>
  </si>
  <si>
    <t>Szombathelyi Csatornamű Társaság visszafizetése</t>
  </si>
  <si>
    <t>Mesebolt Bábszínház saját bevételéből fedezett kiadás</t>
  </si>
  <si>
    <r>
      <t>Weöres Sándor Színház Nonprofit Kft. -művészeti támogatásból</t>
    </r>
    <r>
      <rPr>
        <i/>
        <sz val="12"/>
        <rFont val="Arial CE"/>
        <family val="2"/>
        <charset val="238"/>
      </rPr>
      <t xml:space="preserve"> fedezett kiadás</t>
    </r>
  </si>
  <si>
    <t>Főépítészi iroda (tervtanács, rendezési terv)</t>
  </si>
  <si>
    <t>Önk.tulajdonú területek kaszálása</t>
  </si>
  <si>
    <t>Kültéri kosárlabdapálya fejlesztése - Falco KC támogatása</t>
  </si>
  <si>
    <t>FELHALMZÁSI CÉLÚ TÁMOGATÁSOK ÁLLAMHÁZTARTÁSON BELÜLRŐL ÖSSZESEN</t>
  </si>
  <si>
    <t>FELHALMOZÁSI CÉLÚ ÁTVETT PÉNZESZKÖZÖK</t>
  </si>
  <si>
    <t>Közművelődési érdekeltségnövelő támogatás</t>
  </si>
  <si>
    <t>Nyugat-Pannon Zrt. Tőkeleszállítás bevétele</t>
  </si>
  <si>
    <t>Biztosító térítése, egyéb kártérítések,kötbér</t>
  </si>
  <si>
    <t>TOP-6.9.1-15 Társadalmi együttműködést elősegítő  komplex programok az Óperint városrészen</t>
  </si>
  <si>
    <t>TOP-6.8.2-15 Gazdaság- és fogl.fejl.partnerség a szhelyi járás területén</t>
  </si>
  <si>
    <t>Városmarketing, kommunikáció - Modern városok programhoz, TOP és egyéb fejlesztésekhez kapcsolódóan</t>
  </si>
  <si>
    <t>Vasivíz Zrt. - Uszoda fenntartás</t>
  </si>
  <si>
    <t>Vasivíz Zrt. - Szent Márton kártyával kapcsolatos kedvezmény megtérítése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</si>
  <si>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</si>
  <si>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</si>
  <si>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</si>
  <si>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</si>
  <si>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</si>
  <si>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>ELENA projekt előkészítési feladatai (Kaposvár MJV Önk.)</t>
  </si>
  <si>
    <t>"Guruló Forintok" alkotás felújítása</t>
  </si>
  <si>
    <t>TOP-6.2.1-15-00004 Weöres S. és Pipitér Óvoda fejlesztése Szombathelyen fordított áfa kiadás</t>
  </si>
  <si>
    <t>TOP-6.6.1-15 Új Egészségügyi Alapellátó központ kialakítása fordított áfa</t>
  </si>
  <si>
    <t>TOP-6.1.5-15 SZMJV közúthálózati elemeinek gazdfejl.célú megújítása fordított áfa kiadás</t>
  </si>
  <si>
    <t>I-XII.hó</t>
  </si>
  <si>
    <t xml:space="preserve">8. </t>
  </si>
  <si>
    <t>TOP-6.3.2-15 A szombathelyi Sportliget fejlesztése</t>
  </si>
  <si>
    <t>Szent Márton Terv II.ütem - Modern Városok Program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</si>
  <si>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</si>
  <si>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</si>
  <si>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</si>
  <si>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TOP-6.1.1-15-00001 A szombathelyi Északi Iparterület fejlesztése</t>
  </si>
  <si>
    <t>TOP-6.2.1-00002 Óvoda fejlesztések Szombathelyen</t>
  </si>
  <si>
    <t>TOP-6.1.3-15- Szombathelyi Vásárcsarnok felújítása</t>
  </si>
  <si>
    <t>TOP-6.1.3-15- Szombathelyi Vásárcsarnok felújítása  -fordított ÁFA</t>
  </si>
  <si>
    <t>TOP-6.1.5-15 SZMJV közúthálózati elemeinek gazdaságfejlesztési célú megújítása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</si>
  <si>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</si>
  <si>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</si>
  <si>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</si>
  <si>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</si>
  <si>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</si>
  <si>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</si>
  <si>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</si>
  <si>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TOP-6.5.1-15-00001 Városháza épületének felújítása</t>
  </si>
  <si>
    <t>TOP-6.6.2-15 Szociális alapszolgáltatások fejlesztése Szombathelyen</t>
  </si>
  <si>
    <t>TOP-6.7.1-15 Szociális városrehabilitáció II. ütem</t>
  </si>
  <si>
    <t>TOP-6.5.2-15 Megújuló Szombathely - tiszta energia saját erőből</t>
  </si>
  <si>
    <t>TOP-6.1.1-15-00002 Sombathely, Sárdi-ér úti terület alapinfrastruktúrájának kiépítése</t>
  </si>
  <si>
    <t>TOP-6.5.2-1-15 Megújuló Szombathely - tiszta energia saját erőből</t>
  </si>
  <si>
    <t>TOP-6.2.1-00005 Bölcsöde fejlesztések Szombathelyen</t>
  </si>
  <si>
    <t>TOP-6.3.3-15 Szombathely bel- és csapadékvíz védelmi rendszerének fejlesztése fordított áfa kiadás</t>
  </si>
  <si>
    <t>Fedett uszoda további fejl.és bővítése - Modern Városok Program</t>
  </si>
  <si>
    <t>Szt.Márton Terv II.ütem-Modern Városok Program</t>
  </si>
  <si>
    <t xml:space="preserve">2017. évi költségvetési támogatási előleg </t>
  </si>
  <si>
    <t>2017. évi költségvetési támogatási előleg</t>
  </si>
  <si>
    <t>TOP-6.2.1-15-00002 Óvoda fejlesztések Szombathelyen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</si>
  <si>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</si>
  <si>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</si>
  <si>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</si>
  <si>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ELTE Savaria Egyetemi Központ támogatása (beiskolázási kampány)</t>
  </si>
  <si>
    <t>TOP-6.3.1-15 Szombathely Szent László Király utcai felhagyott iparterület fejlesztése -fordított áfa</t>
  </si>
  <si>
    <t>TOP-6.3.2-15 A szombathelyi Sportliget fejlesztése fordított áfa</t>
  </si>
  <si>
    <t>Tartalék - KLIK elszámolás - Szemünk fénye program</t>
  </si>
  <si>
    <t>Tartalék</t>
  </si>
  <si>
    <t>Vízközmű- és szennyvízközmű használati díj terhére végzett beruházás</t>
  </si>
  <si>
    <t>SZOMHULL Nonprofit Kft. Tagi kölcsön</t>
  </si>
  <si>
    <t xml:space="preserve">SZOMHULL Nonprofit Kft. - tagi kölcsön visszatérülés </t>
  </si>
  <si>
    <t>Tartalék - 2017.évi költségvetés</t>
  </si>
  <si>
    <t>Európai Mobilitási hét</t>
  </si>
  <si>
    <t>Szent Márton Emlékévhez kapcsolódó beruházások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</si>
  <si>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</si>
  <si>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</si>
  <si>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</si>
  <si>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</si>
  <si>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</si>
  <si>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</si>
  <si>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</si>
  <si>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</si>
  <si>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</si>
  <si>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</si>
  <si>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</si>
  <si>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</si>
  <si>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Összesen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</si>
  <si>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</si>
  <si>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</si>
  <si>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</si>
  <si>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</si>
  <si>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</si>
  <si>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</si>
  <si>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</si>
  <si>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</si>
  <si>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</si>
  <si>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</si>
  <si>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</si>
  <si>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</si>
  <si>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Kimutatás az Európai Unios támogatással megvalósuló projektek</t>
  </si>
  <si>
    <t>BEVÉTELEK</t>
  </si>
  <si>
    <t>Működés</t>
  </si>
  <si>
    <t>Fejlesztés</t>
  </si>
  <si>
    <t>BEVÉTELEK ÖSSZESEN</t>
  </si>
  <si>
    <t>KIADÁSOK</t>
  </si>
  <si>
    <t>Egyéb más ágazathoz nem sorolható intézmények és feladatok kiadásai</t>
  </si>
  <si>
    <t>KIADÁSOK ÖSSZESEN</t>
  </si>
  <si>
    <t>következő évekre áthúzódó hatásairól</t>
  </si>
  <si>
    <t>2017.</t>
  </si>
  <si>
    <t>2018.</t>
  </si>
  <si>
    <t>Fejlesztési célú hitel - törlesztése</t>
  </si>
  <si>
    <t>Hitelek törlesztése és kamata öszesen</t>
  </si>
  <si>
    <t>Lakásalap összesen</t>
  </si>
  <si>
    <t xml:space="preserve">út, járda, híd, kerékpárút, parkoló, közvilágítási építési és felújítási program </t>
  </si>
  <si>
    <t>Beruházások Összesen:</t>
  </si>
  <si>
    <t>Szöveges indoklás:</t>
  </si>
  <si>
    <t xml:space="preserve">A többéves kihatással járó költségvetési tételek egyrészt Szombathely Megyei Jogú Város közgyűlésének </t>
  </si>
  <si>
    <t xml:space="preserve"> 2016.évi költségvetési rendelettervezetében meghatározott feladatok, illetve korábbi</t>
  </si>
  <si>
    <t>közgyűlési döntések alapján kerültek beépítésre.</t>
  </si>
  <si>
    <t>ESZKÖZÖK</t>
  </si>
  <si>
    <t xml:space="preserve">2015. </t>
  </si>
  <si>
    <t>zárómérleg</t>
  </si>
  <si>
    <t>2015.12.31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</si>
  <si>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</si>
  <si>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</si>
  <si>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</si>
  <si>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</si>
  <si>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</si>
  <si>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</si>
  <si>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</si>
  <si>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</si>
  <si>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</si>
  <si>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</si>
  <si>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</si>
  <si>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</si>
  <si>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</si>
  <si>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</si>
  <si>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</si>
  <si>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</si>
  <si>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</si>
  <si>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</si>
  <si>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</si>
  <si>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</si>
  <si>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</si>
  <si>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</si>
  <si>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</si>
  <si>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</si>
  <si>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</si>
  <si>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</si>
  <si>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</si>
  <si>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</si>
  <si>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</si>
  <si>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</si>
  <si>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</si>
  <si>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</si>
  <si>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</si>
  <si>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</si>
  <si>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</si>
  <si>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</si>
  <si>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</si>
  <si>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</si>
  <si>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</si>
  <si>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</si>
  <si>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</si>
  <si>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</si>
  <si>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</si>
  <si>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</si>
  <si>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</si>
  <si>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</si>
  <si>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</si>
  <si>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</si>
  <si>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</si>
  <si>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</si>
  <si>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</si>
  <si>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</si>
  <si>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</si>
  <si>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</si>
  <si>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</si>
  <si>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</si>
  <si>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</si>
  <si>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</si>
  <si>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</si>
  <si>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</si>
  <si>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</si>
  <si>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</si>
  <si>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</si>
  <si>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</si>
  <si>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</si>
  <si>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</si>
  <si>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</si>
  <si>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</si>
  <si>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</si>
  <si>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</si>
  <si>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</si>
  <si>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</si>
  <si>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</si>
  <si>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</si>
  <si>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</si>
  <si>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</si>
  <si>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</si>
  <si>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</si>
  <si>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</si>
  <si>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</si>
  <si>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</si>
  <si>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</si>
  <si>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</si>
  <si>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</si>
  <si>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</si>
  <si>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</si>
  <si>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</si>
  <si>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</si>
  <si>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</si>
  <si>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</si>
  <si>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</si>
  <si>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</si>
  <si>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</si>
  <si>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</si>
  <si>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</si>
  <si>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</si>
  <si>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</si>
  <si>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</si>
  <si>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</si>
  <si>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</si>
  <si>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</si>
  <si>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</si>
  <si>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</si>
  <si>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</si>
  <si>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</si>
  <si>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</si>
  <si>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</si>
  <si>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</si>
  <si>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</si>
  <si>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</si>
  <si>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</si>
  <si>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</si>
  <si>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</si>
  <si>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</si>
  <si>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</si>
  <si>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</si>
  <si>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</si>
  <si>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</si>
  <si>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</si>
  <si>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</si>
  <si>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</si>
  <si>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</si>
  <si>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</si>
  <si>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</si>
  <si>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</si>
  <si>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</si>
  <si>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</si>
  <si>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</si>
  <si>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</si>
  <si>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</si>
  <si>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</si>
  <si>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</si>
  <si>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</si>
  <si>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</si>
  <si>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</si>
  <si>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</si>
  <si>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</si>
  <si>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</si>
  <si>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</si>
  <si>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</si>
  <si>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</si>
  <si>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</si>
  <si>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</si>
  <si>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</si>
  <si>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</si>
  <si>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</si>
  <si>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</si>
  <si>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</si>
  <si>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</si>
  <si>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</si>
  <si>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</si>
  <si>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</si>
  <si>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</si>
  <si>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</si>
  <si>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</si>
  <si>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</si>
  <si>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</si>
  <si>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</si>
  <si>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</si>
  <si>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</si>
  <si>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</si>
  <si>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</si>
  <si>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</si>
  <si>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</si>
  <si>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</si>
  <si>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</si>
  <si>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</si>
  <si>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</si>
  <si>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</si>
  <si>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</si>
  <si>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</si>
  <si>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</si>
  <si>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</si>
  <si>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</si>
  <si>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</si>
  <si>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</si>
  <si>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</si>
  <si>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</si>
  <si>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</si>
  <si>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</si>
  <si>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</si>
  <si>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</si>
  <si>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</si>
  <si>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</si>
  <si>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</si>
  <si>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</si>
  <si>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</si>
  <si>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</si>
  <si>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</si>
  <si>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</si>
  <si>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</si>
  <si>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</si>
  <si>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</si>
  <si>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</si>
  <si>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</si>
  <si>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</si>
  <si>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</si>
  <si>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</si>
  <si>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</si>
  <si>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</si>
  <si>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</si>
  <si>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</si>
  <si>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</si>
  <si>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</si>
  <si>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</si>
  <si>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</si>
  <si>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</si>
  <si>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</si>
  <si>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</si>
  <si>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</si>
  <si>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</si>
  <si>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</si>
  <si>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</si>
  <si>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8.</t>
  </si>
  <si>
    <t>9.</t>
  </si>
  <si>
    <t>Adósságcsökkentési támogatás [Szoctv. 55/A. § 1. bek. b) pont]</t>
  </si>
  <si>
    <t>10.</t>
  </si>
  <si>
    <t>Lakhatással kapcsolatos ellátások összesen:</t>
  </si>
  <si>
    <t>11.</t>
  </si>
  <si>
    <t>13.</t>
  </si>
  <si>
    <t>Köztemetés (Szoctv. 48.§)</t>
  </si>
  <si>
    <t>Települési támogatás (Szoctv. 45.§)</t>
  </si>
  <si>
    <t>17.</t>
  </si>
  <si>
    <t>Egyéb nem intézményi ellátások</t>
  </si>
  <si>
    <t>K4 Ellátottak</t>
  </si>
  <si>
    <t>16.700 eFt</t>
  </si>
  <si>
    <t>Szombathely visszavár ösztöndíjrendszer</t>
  </si>
  <si>
    <t>Köztemetés</t>
  </si>
  <si>
    <t>Kamatmentes kölcsön  kifizetés</t>
  </si>
  <si>
    <t>Ápolási díj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</si>
  <si>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</si>
  <si>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</si>
  <si>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</si>
  <si>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</si>
  <si>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</si>
  <si>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</si>
  <si>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</si>
  <si>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</si>
  <si>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</si>
  <si>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</si>
  <si>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</si>
  <si>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</si>
  <si>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</si>
  <si>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</si>
  <si>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</si>
  <si>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</si>
  <si>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</si>
  <si>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</si>
  <si>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</si>
  <si>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</si>
  <si>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</si>
  <si>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</si>
  <si>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</si>
  <si>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</si>
  <si>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</si>
  <si>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</si>
  <si>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</si>
  <si>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</si>
  <si>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</si>
  <si>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</si>
  <si>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</si>
  <si>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</si>
  <si>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</si>
  <si>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</si>
  <si>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</si>
  <si>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</si>
  <si>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</si>
  <si>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</si>
  <si>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</si>
  <si>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</si>
  <si>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</si>
  <si>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</si>
  <si>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</si>
  <si>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</si>
  <si>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</si>
  <si>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</si>
  <si>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</si>
  <si>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</si>
  <si>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</si>
  <si>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</si>
  <si>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</si>
  <si>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</si>
  <si>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</si>
  <si>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</si>
  <si>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</si>
  <si>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</si>
  <si>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</si>
  <si>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</si>
  <si>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</si>
  <si>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</si>
  <si>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</si>
  <si>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</si>
  <si>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</si>
  <si>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</si>
  <si>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</si>
  <si>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</si>
  <si>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</si>
  <si>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</si>
  <si>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</si>
  <si>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</si>
  <si>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</si>
  <si>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</si>
  <si>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</si>
  <si>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</si>
  <si>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</si>
  <si>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</si>
  <si>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</si>
  <si>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</si>
  <si>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</si>
  <si>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</si>
  <si>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</si>
  <si>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</si>
  <si>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</si>
  <si>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</si>
  <si>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</si>
  <si>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</si>
  <si>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</si>
  <si>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</si>
  <si>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Köztemetők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</si>
  <si>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</si>
  <si>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</si>
  <si>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</si>
  <si>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</si>
  <si>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</si>
  <si>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</si>
  <si>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</si>
  <si>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</si>
  <si>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</si>
  <si>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</si>
  <si>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</si>
  <si>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</si>
  <si>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</si>
  <si>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</si>
  <si>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</si>
  <si>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</si>
  <si>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</si>
  <si>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</si>
  <si>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</si>
  <si>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</si>
  <si>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</si>
  <si>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</si>
  <si>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</si>
  <si>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</si>
  <si>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</si>
  <si>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</si>
  <si>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</si>
  <si>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</si>
  <si>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</si>
  <si>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</si>
  <si>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</si>
  <si>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</si>
  <si>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</si>
  <si>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</si>
  <si>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</si>
  <si>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</si>
  <si>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</si>
  <si>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</si>
  <si>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</si>
  <si>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</si>
  <si>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</si>
  <si>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</si>
  <si>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</si>
  <si>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</si>
  <si>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</si>
  <si>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</si>
  <si>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</si>
  <si>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</si>
  <si>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</si>
  <si>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</si>
  <si>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</si>
  <si>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</si>
  <si>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</si>
  <si>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</si>
  <si>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</si>
  <si>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</si>
  <si>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</si>
  <si>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</si>
  <si>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</si>
  <si>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Klebelsberg Intézményfenntartó Központ vagyonkezelésében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</si>
  <si>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</si>
  <si>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</si>
  <si>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</si>
  <si>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</si>
  <si>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</si>
  <si>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</si>
  <si>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I N T É Z M É N Y</t>
  </si>
  <si>
    <t>Feladat</t>
  </si>
  <si>
    <t>Összeg</t>
  </si>
  <si>
    <t>Ó v o d á k</t>
  </si>
  <si>
    <t>Barátság Óvoda</t>
  </si>
  <si>
    <t>Egyéb gép, berendezés</t>
  </si>
  <si>
    <t>Benczúr Gyula Óvoda</t>
  </si>
  <si>
    <t>Játéksziget óvoda</t>
  </si>
  <si>
    <t>Donászy Magda Óvoda</t>
  </si>
  <si>
    <t>Aréna Óvoda</t>
  </si>
  <si>
    <t>Gazdag Erzsi Óvoda</t>
  </si>
  <si>
    <t>Hétszínvirág Óvoda</t>
  </si>
  <si>
    <t>Szivárvány Óvoda</t>
  </si>
  <si>
    <t>Kőrösi Óvoda</t>
  </si>
  <si>
    <t>Pipitér Óvoda</t>
  </si>
  <si>
    <t>Margaréta Óvoda</t>
  </si>
  <si>
    <t>Maros Óvoda</t>
  </si>
  <si>
    <t>Mesevár Óvoda</t>
  </si>
  <si>
    <t>Mókuskerék</t>
  </si>
  <si>
    <t>Mocorgó Óvoda</t>
  </si>
  <si>
    <t>Napsugár Óvoda</t>
  </si>
  <si>
    <t>Szűrcsapó Óvoda</t>
  </si>
  <si>
    <t>Vadvirág Óvoda</t>
  </si>
  <si>
    <t>Weöres Sándor Óvoda</t>
  </si>
  <si>
    <t>Fészekhinta</t>
  </si>
  <si>
    <t>Óvodák  összesen</t>
  </si>
  <si>
    <t>Szombathelyi Köznevelési Gamesz - Zrinyi Ilona Általános Iskola</t>
  </si>
  <si>
    <t>Szombathelyi Köznevelési Gamesz - Bercsényi Miklós Általános Iskola</t>
  </si>
  <si>
    <t>Szombathelyi Köznevelési Gamesz - Dési Huber István Általános  Iskola</t>
  </si>
  <si>
    <t>Szombathelyi Köznevelési Gamesz - Neumann János  Általános Iskola</t>
  </si>
  <si>
    <t>Szombathelyi Köznevelési Gamesz - Derkovits Gyula Általános iskola</t>
  </si>
  <si>
    <t>Szombathelyi Köznevelési Gamesz-Paragvári utcai  Általásnos Iskola</t>
  </si>
  <si>
    <t>Szombathelyi Köznevelési Gamesz - Váci Mihály Általános Iskola</t>
  </si>
  <si>
    <t>Szombathelyi Köznevelési Gamesz - Kanizsai Dorottya  Gimnázium</t>
  </si>
  <si>
    <t>Szombathelyi Köznevelési Gamesz - Nagy Lajos Gimnázium</t>
  </si>
  <si>
    <t>Szombathelyi Köznevelési Gamesz - Oladi Általános Iskola</t>
  </si>
  <si>
    <t>Szombathelyi Köznevelési Gamesz - Nyitra utcai  Általános Iskola</t>
  </si>
  <si>
    <t>Szombathelyi Köznevelési Gamesz - Aranyhíd Általános Iskola</t>
  </si>
  <si>
    <t>Kisértékű tárgyi eszközök beszerzése ( informatikai)</t>
  </si>
  <si>
    <t>Köznevelési Gamesz összesen</t>
  </si>
  <si>
    <t>Nem oktatási intézmények:</t>
  </si>
  <si>
    <t>Kulturális intézmények</t>
  </si>
  <si>
    <t>Agora</t>
  </si>
  <si>
    <t xml:space="preserve">Összesen:                                       </t>
  </si>
  <si>
    <t>Savaria Szimfonikus Zenekar</t>
  </si>
  <si>
    <t>Irodabútor</t>
  </si>
  <si>
    <t>Berzsenyi Dániel Megyei és Városi Könyvtár</t>
  </si>
  <si>
    <t>Savaria Megyei Hatókörű Városi Múzeum</t>
  </si>
  <si>
    <t>Savaria Múzeum</t>
  </si>
  <si>
    <t>Képtár</t>
  </si>
  <si>
    <t>Kisértékű t.e beszerzés</t>
  </si>
  <si>
    <t>Iseum</t>
  </si>
  <si>
    <t>Smidt Múzeum</t>
  </si>
  <si>
    <t>Savaria Régészet/ Raktárbázis/</t>
  </si>
  <si>
    <t xml:space="preserve"> Vasi Skanzen</t>
  </si>
  <si>
    <t>Kulturális intézmények összesen:</t>
  </si>
  <si>
    <t>Egyéb intézmények</t>
  </si>
  <si>
    <t xml:space="preserve"> Városi Vásárcsarnok</t>
  </si>
  <si>
    <t>Egészségügyi intézmények</t>
  </si>
  <si>
    <t>Szombathelyi Egészségügyi és Kulturális Intézmények</t>
  </si>
  <si>
    <t>Gazdasági Ellátó Szervezete</t>
  </si>
  <si>
    <t>Védőnői szolgálat szakmai minimum feltételeinek biztosítása</t>
  </si>
  <si>
    <t>Humán Civil Ház felszerelési eszközök pótlása</t>
  </si>
  <si>
    <t>Szociális intézmények</t>
  </si>
  <si>
    <t>Gazdasági Hivatal</t>
  </si>
  <si>
    <t>Napraforgó Bölcsőde</t>
  </si>
  <si>
    <t>Russel Hoobs turmixgép</t>
  </si>
  <si>
    <t>Bokréta Bölcsőde</t>
  </si>
  <si>
    <t>Zanussi hűtőszekrény</t>
  </si>
  <si>
    <t>Meseház Bölcsőde</t>
  </si>
  <si>
    <t>Százszorszép Bölcsőde</t>
  </si>
  <si>
    <t>Kuckó Bölcsőde</t>
  </si>
  <si>
    <t xml:space="preserve">Panasonic mini hifi </t>
  </si>
  <si>
    <t>Csicsergő Bölcsőde</t>
  </si>
  <si>
    <t>Csodaország Bölcsőde</t>
  </si>
  <si>
    <t>Karbantartási Csoport</t>
  </si>
  <si>
    <t>Pálos Károly Szoc. Szolg. Központ és Gyermekjóléti Szolgálat</t>
  </si>
  <si>
    <t>Digitális fényképezőgép</t>
  </si>
  <si>
    <t>Nem oktatási intézmények összesen</t>
  </si>
  <si>
    <t>Intézmények mindösszesen</t>
  </si>
  <si>
    <t>Szombathely Megyei Jogú Város Polgármesteri Hivatala</t>
  </si>
  <si>
    <t>Hivatali irodákba bútorbeszerzések</t>
  </si>
  <si>
    <t>Multifunkciós eszközök beszerzése</t>
  </si>
  <si>
    <t>Katasztrófavédelmi célra tárgyi eszköz beszerzés</t>
  </si>
  <si>
    <t>Informatikai eszközbeszerzések</t>
  </si>
  <si>
    <t>Egyedi szoftver fejlesztés, vásárlás</t>
  </si>
  <si>
    <t>Összesen:</t>
  </si>
  <si>
    <t>Közterület Felügyelet</t>
  </si>
  <si>
    <t>Magasnyomású mosó</t>
  </si>
  <si>
    <t>Cél</t>
  </si>
  <si>
    <t>Benczur Óvoda</t>
  </si>
  <si>
    <t>Kőrösi Csoma Sándor Óvoda</t>
  </si>
  <si>
    <t>Játéksziget Óvoda</t>
  </si>
  <si>
    <t>Tetőfelújítás</t>
  </si>
  <si>
    <t>Szombathelyi Köznevelési Gamesz - Dési Huber István Általános Iskola</t>
  </si>
  <si>
    <t>Nyílászáró csere</t>
  </si>
  <si>
    <t>Szombathelyi Köznevelési Gamesz - Bercsényi Miklós  Általános Iskola</t>
  </si>
  <si>
    <t>Szombathelyi Köznevelési Gamesz  - Derkovits Gyula  Általános Iskola</t>
  </si>
  <si>
    <t>Riasztóbővítés</t>
  </si>
  <si>
    <t>Szombathelyi Köznevelési Gamesz - Neumann János Általános Iskola</t>
  </si>
  <si>
    <t>Egyéb eszközök</t>
  </si>
  <si>
    <t>Szombathelyi Köznevelési Gamesz - Gothard Jenő Általános Iskola</t>
  </si>
  <si>
    <t>Szombathelyi Köznevelési Gamesz - Paragvári Utcai  Általános Iskola</t>
  </si>
  <si>
    <t>Szombathelyi Köznevelési Gamesz - Kanizsai Dorottya Gimnázium</t>
  </si>
  <si>
    <t>Szombathelyi Köznevelési Gamesz - Aranyhíd Általános  Iskola</t>
  </si>
  <si>
    <t>Szombathelyi Köznevelési Gamesz összesen</t>
  </si>
  <si>
    <t>Agora Szombathelyi Kulturális Központ</t>
  </si>
  <si>
    <t>Egézségügyi intézmények</t>
  </si>
  <si>
    <t>Előlépcső és előtető átalakítás-Kuckó Bölcsőde</t>
  </si>
  <si>
    <t>Széll K.u 4. épület belső felújítása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</si>
  <si>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</si>
  <si>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</si>
  <si>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</si>
  <si>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</si>
  <si>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</si>
  <si>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</si>
  <si>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</si>
  <si>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</si>
  <si>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</si>
  <si>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</si>
  <si>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</si>
  <si>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</si>
  <si>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</si>
  <si>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Nyugat-Pannon Zrt</t>
  </si>
  <si>
    <t>Szombathelyi Parkfenntartási és Temetkezési Kft</t>
  </si>
  <si>
    <t>STYL FASHION INVEST2009 Ruhaipari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</si>
  <si>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</si>
  <si>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</si>
  <si>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</si>
  <si>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</si>
  <si>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</si>
  <si>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</si>
  <si>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</si>
  <si>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</si>
  <si>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</si>
  <si>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</si>
  <si>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</si>
  <si>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</si>
  <si>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</si>
  <si>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</si>
  <si>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</si>
  <si>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Részesedések, üzletrészek állománya 2016.december 31-én</t>
  </si>
  <si>
    <t>Szombathely Megyei Jogú Város Önkormányzata ingatlanvagyon-kataszter összesítője 2016.év</t>
  </si>
  <si>
    <t xml:space="preserve">Költségvetési </t>
  </si>
  <si>
    <t>Önkormányzat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</si>
  <si>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</si>
  <si>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</si>
  <si>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</si>
  <si>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</si>
  <si>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</si>
  <si>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</si>
  <si>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</si>
  <si>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</si>
  <si>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</si>
  <si>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</si>
  <si>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</si>
  <si>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</si>
  <si>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</si>
  <si>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</si>
  <si>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</si>
  <si>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</si>
  <si>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</si>
  <si>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</si>
  <si>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</si>
  <si>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</si>
  <si>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</si>
  <si>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</si>
  <si>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</si>
  <si>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</si>
  <si>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K6</t>
  </si>
  <si>
    <t>K7</t>
  </si>
  <si>
    <t>Felújítások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</si>
  <si>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</si>
  <si>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</si>
  <si>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</si>
  <si>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</si>
  <si>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</si>
  <si>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</si>
  <si>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</si>
  <si>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</si>
  <si>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</si>
  <si>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</si>
  <si>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</si>
  <si>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</si>
  <si>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</si>
  <si>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FELHALMOZÁSI CÉLÚ TÁMOGATÁSOK ÁLLAMHÁZTARTÁSON BELÜLRŐL</t>
  </si>
  <si>
    <t>2016. évi közvetett támogatásairól</t>
  </si>
  <si>
    <t>2016.évi bevételeiről és kiadásairól</t>
  </si>
  <si>
    <t>ÁROP 1.A.3-2014-2014-0023 Partnerség alapú esélyegyenlőségi programok a segítés városában és térségében</t>
  </si>
  <si>
    <t>URBACT III program Disarned citis projekt támogatás I. ütem</t>
  </si>
  <si>
    <t>URBACT III program Disarned citis projekt támogatás II. ütem</t>
  </si>
  <si>
    <t>TOP-6.9.1-15 Társadalmi együttműködést elősegítő komplex programok az Óperint városrészen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</si>
  <si>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</si>
  <si>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</si>
  <si>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</si>
  <si>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</si>
  <si>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</si>
  <si>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</si>
  <si>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TOP-6.3.3-15 Szhely bel- és csapadékvíz védelmi rendsz.fejl.</t>
  </si>
  <si>
    <t>TOP-6.3.3-15 Szhely bel- és csapadékvíz védelmi rendsz.fejl. fordított áfa kiadás</t>
  </si>
  <si>
    <t>TOP-6.2.1-15-00005 Bölcsőde fejlesztések Szombathelyen (Bokréta Bölcsőde) önerő</t>
  </si>
  <si>
    <t>TOP-6.3.1-15 Szombathely Szent László Király utcai felhagyott iparterület fejlesztése (EPCOS telephely) önerő</t>
  </si>
  <si>
    <t>TOP-6.5.1-15 Városháza épületének felújítása önerő</t>
  </si>
  <si>
    <t>TOP 6.1.1-15. Ipari parkok iparterületek fejlesztése önkormányzati önerő (Északi Iparterület)</t>
  </si>
  <si>
    <t>TOP 6.1.1-15. Ipari parkok iparterületek fejlesztése SZOVA önerő (Sárdi-ér út)</t>
  </si>
  <si>
    <t>TOP-6.2.1-15-00002 Óvoda fejlesztések Szombathelyen (Gazdag Erzsi Óvoda) önerő</t>
  </si>
  <si>
    <t>TOP-6.1.3-15 Szombathelyi Vásárcsarnok felújítása fordított áfa</t>
  </si>
  <si>
    <t>Szombathely Megyei Jogú Város Önkormányzata 2016.évi fejlesztési kiadásainak</t>
  </si>
  <si>
    <t>2019.</t>
  </si>
  <si>
    <t>Vagyongazdálkodási kiadások (ingatlan kisajátítás, vásárlás)</t>
  </si>
  <si>
    <t>2016. évi segély kifizetésekről</t>
  </si>
  <si>
    <t>kgy. Szoc táblából</t>
  </si>
  <si>
    <t xml:space="preserve">2016. </t>
  </si>
  <si>
    <t>2016.12.31</t>
  </si>
  <si>
    <t>Szombathely Megyei Jogú Város Önkormányzatának mérlegadatai 2016.évben</t>
  </si>
  <si>
    <t>Halasztott eredményszemléletű bevételek</t>
  </si>
  <si>
    <t>Szombathely Megyei Jogú Város vagyonkimutatása 2016.év</t>
  </si>
  <si>
    <t>Támogatás célú előleggel kapcsolatos elszámolási köztelezettség</t>
  </si>
  <si>
    <t>ellátottak térítési díjának, illetve kártérítésének méltányossági alapon történő elengedésének összege</t>
  </si>
  <si>
    <t>4. SZMJV Önkormányzatának vagyonrendelet alapján nyújtott kedvezmények, mentességek összege.</t>
  </si>
  <si>
    <t>5. Közterülethasználati díj mentesség az Önkormányzat rendelete alapján.</t>
  </si>
  <si>
    <t xml:space="preserve"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 </t>
  </si>
  <si>
    <t xml:space="preserve">2016. évi  kiadásai kiemelt előirányzatonként </t>
  </si>
  <si>
    <t xml:space="preserve">2016. évi bevételei  kiemelt előirányzatonként </t>
  </si>
  <si>
    <t>-2015.évi pénzmaradvány (pénzforgalom nélküli bevétel)</t>
  </si>
  <si>
    <t>Költségvetési szervek 2016. évi bevételei</t>
  </si>
  <si>
    <t xml:space="preserve"> Működési bevételek</t>
  </si>
  <si>
    <t>Működési célú átvett  pénzeszközök</t>
  </si>
  <si>
    <t>Maradvány igénybevétele összesen</t>
  </si>
  <si>
    <t xml:space="preserve"> Központi irányítószervtől kapott támogatás</t>
  </si>
  <si>
    <t>Központi irányítószervtől kapott támogatás összesen</t>
  </si>
  <si>
    <t>Költségvetési bevételek összesen</t>
  </si>
  <si>
    <t>működési célú igénybevétele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</si>
  <si>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</si>
  <si>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</si>
  <si>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</si>
  <si>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</si>
  <si>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</si>
  <si>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</si>
  <si>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</si>
  <si>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</si>
  <si>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</si>
  <si>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</si>
  <si>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</si>
  <si>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Módosított                  előirányzat                 RM V.</t>
  </si>
  <si>
    <t>telj.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</si>
  <si>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</si>
  <si>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</si>
  <si>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</si>
  <si>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</si>
  <si>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</si>
  <si>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</si>
  <si>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</si>
  <si>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</si>
  <si>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</si>
  <si>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</si>
  <si>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 xml:space="preserve">Margaréta Óvoda  </t>
  </si>
  <si>
    <t>Napsugár  Óvoda</t>
  </si>
  <si>
    <t>Benczur Gyula Utcai Óvoda</t>
  </si>
  <si>
    <t xml:space="preserve">Weöres Sándor  Óvoda </t>
  </si>
  <si>
    <t>Nem oktatási intézmények</t>
  </si>
  <si>
    <t xml:space="preserve">Összesen                             </t>
  </si>
  <si>
    <t>Egyéb intézmény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</si>
  <si>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</si>
  <si>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</si>
  <si>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</si>
  <si>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</si>
  <si>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</si>
  <si>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>Szombathelyi Egyesitett Bölcsődei Intézmény és Családi Napközi</t>
  </si>
  <si>
    <t>Pálos Károly Szociális Szolgáltató Központ és Gyermekjóléti Szolgálat</t>
  </si>
  <si>
    <t xml:space="preserve">Oktatási intézmények összesen </t>
  </si>
  <si>
    <t>Közterület-Felügyelet</t>
  </si>
  <si>
    <t>Költségvetési szervek 2016. évi kiadásai</t>
  </si>
  <si>
    <t>Munkaadókat terhelő járulékok és szociális     hozzájárulási adó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</si>
  <si>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</si>
  <si>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</si>
  <si>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</si>
  <si>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</si>
  <si>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</si>
  <si>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</si>
  <si>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Mocorgó Óvoda </t>
  </si>
  <si>
    <t>Szombathely Megyei Jogú Város Önkormányzatának</t>
  </si>
  <si>
    <t>2016. évi  engedélyezett záró létszámelőirányzata</t>
  </si>
  <si>
    <t>2016. év</t>
  </si>
  <si>
    <t>2016. évi  záró engedélyezett  létszám  előirányzat összesen</t>
  </si>
  <si>
    <t>Intézmény</t>
  </si>
  <si>
    <t>SZAKMAI LÉTSZÁM</t>
  </si>
  <si>
    <t>INTÉZMÉNYÜZEMELTETÉSI LÉTSZÁM</t>
  </si>
  <si>
    <t>2016. évi záró létszám</t>
  </si>
  <si>
    <t>átszámítás nélküli</t>
  </si>
  <si>
    <t xml:space="preserve">   kerekített</t>
  </si>
  <si>
    <t>kerekített</t>
  </si>
  <si>
    <t>Intézmények összesen</t>
  </si>
  <si>
    <t>KGR:</t>
  </si>
  <si>
    <t>Környezetvédelmi bírság</t>
  </si>
  <si>
    <t xml:space="preserve">Egyéb működési célú bevétel </t>
  </si>
  <si>
    <t>Működési célú átvett pénzeszközök összesen</t>
  </si>
  <si>
    <t>Egészségügyi és Kulturális Intézmények GESZ</t>
  </si>
  <si>
    <t>KÖLTSÉGVETÉSI SZERVEK MŰKÖDÉSI BEVÉTELEI ÖSSZESEN</t>
  </si>
  <si>
    <t xml:space="preserve">Pedagógus kitüntetések </t>
  </si>
  <si>
    <t>GAMESZ</t>
  </si>
  <si>
    <t>Agora Szombathelyi Kulturális Központ összesen:</t>
  </si>
  <si>
    <r>
      <t xml:space="preserve">Mesebolt Bábszínház </t>
    </r>
    <r>
      <rPr>
        <i/>
        <sz val="12"/>
        <rFont val="Arial"/>
        <family val="2"/>
        <charset val="238"/>
      </rPr>
      <t>2015.évi maradványból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</si>
  <si>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2015. évi maradványból fedezett kiadás</t>
    </r>
  </si>
  <si>
    <t>Savaria Múzeum 2015. évi maradványból fedezett kiadás</t>
  </si>
  <si>
    <r>
      <t xml:space="preserve">Berzsenyi Dániel könyvtár </t>
    </r>
    <r>
      <rPr>
        <i/>
        <sz val="12"/>
        <rFont val="Arial CE"/>
        <family val="2"/>
        <charset val="238"/>
      </rPr>
      <t>2015.évi maradványból fedezett kiadás</t>
    </r>
  </si>
  <si>
    <r>
      <t>Weöres Sándor Színház Nonprofit Kft. -központi működési támogatásból</t>
    </r>
    <r>
      <rPr>
        <b/>
        <i/>
        <sz val="12"/>
        <rFont val="Arial CE"/>
        <family val="2"/>
        <charset val="238"/>
      </rPr>
      <t xml:space="preserve"> </t>
    </r>
    <r>
      <rPr>
        <i/>
        <sz val="12"/>
        <rFont val="Arial CE"/>
        <family val="2"/>
        <charset val="238"/>
      </rPr>
      <t>fedezett kiadás</t>
    </r>
  </si>
  <si>
    <t>Nem önkormányzati kulturális és civil szervezetek támogatása</t>
  </si>
  <si>
    <t>Joskar Ola Alapítvány</t>
  </si>
  <si>
    <t>Szent Márton emlékévhez kapcsolódó 2016. évi rendezvények - központi támogatásból</t>
  </si>
  <si>
    <t xml:space="preserve">Kulturális kitüntetés díja, Év Civil Szervezete díja </t>
  </si>
  <si>
    <t>Savaria Történelmi Karnevál Közhasznú Közalapítvány - Működési támogatása</t>
  </si>
  <si>
    <t>Savaria Történelmi Karnevál Közhasznú Közalapítvány NKA pályázati nevezési díj</t>
  </si>
  <si>
    <t>Hatósági díjak, egyéb kiadások</t>
  </si>
  <si>
    <t>ÖNKORMÁNYZATI KULTURÁLIS KIADÁSOK ÖSSZESEN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</si>
  <si>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2015. évi maradványból fedezett kiadás</t>
    </r>
  </si>
  <si>
    <t>Lakás bérleti díj támogatás</t>
  </si>
  <si>
    <r>
      <t>Pálos Károly Szociális Szolgáltató Központ és Gyermekjóléti Szolgálat intézmény</t>
    </r>
    <r>
      <rPr>
        <b/>
        <sz val="12"/>
        <rFont val="Arial CE"/>
        <family val="2"/>
        <charset val="238"/>
      </rPr>
      <t xml:space="preserve"> 2015. évi maradványból fedezett kiadás</t>
    </r>
  </si>
  <si>
    <t xml:space="preserve">WHO Egészséges városok tagdíj, elnökséget adó városi 
cím és projektváros cím </t>
  </si>
  <si>
    <t>Horvát Nemzetiségi nap támogatás</t>
  </si>
  <si>
    <t xml:space="preserve">Választott képviselők és bizottsági tagok juttatásai </t>
  </si>
  <si>
    <t>Határon túli magyar egyesületek támogatása</t>
  </si>
  <si>
    <t>ELTE Gothard Asztrofizikai Obszervatórium</t>
  </si>
  <si>
    <t>Gazdaságfejlesztés</t>
  </si>
  <si>
    <t>Kariatida tanulmányi támogatás rendszerének működtetése - "Szombathely Szent Márton városa"  Jóléti Alapítvány</t>
  </si>
  <si>
    <t>Önkormányzati, egyéb más ágazathoz nem sorolható kiadásai összesen</t>
  </si>
  <si>
    <t>Szombathelyi Sportközpont és Sportiskola Nonprofit Kft. Támogatása</t>
  </si>
  <si>
    <t>Kiemelkedő sporteredmények jutalmazása - Sportkarácsony</t>
  </si>
  <si>
    <t>Sportágazat kiadásai összesen</t>
  </si>
  <si>
    <t xml:space="preserve">Kommunális és Városüzemeltetési kiadások összesen:          </t>
  </si>
  <si>
    <t xml:space="preserve">Vízelnyelők </t>
  </si>
  <si>
    <t>Szent Márton Emlékévhez kapcsolódó beruházások megvalósításának támogatása</t>
  </si>
  <si>
    <t>Joskar-Ola lakótelep csapadékvíz elvezetési rendszer - hozzájárulás</t>
  </si>
  <si>
    <t>KLIK által működtetett többcélú intézmények és kollégiumok működési hozzájárulás</t>
  </si>
  <si>
    <t>Gyöngyöshermán-Szentkirályi Polgári Kör Zarkaházi kastély fűtés felújítására</t>
  </si>
  <si>
    <t>Önkormányzati cégek törzstőke rendezése</t>
  </si>
  <si>
    <t>ISPA szennyvízrendszer fejlesztése (ISPA, állami tám., önerő, ÁFA, egyéb kiadások)</t>
  </si>
  <si>
    <t>Csónakázó tó szigetén mozgáskorlátozott közlekedés kialakítása</t>
  </si>
  <si>
    <t>Szombathely leendő ipari, gazdasági területek kialakítása</t>
  </si>
  <si>
    <t>Fedett uszoda további fejlesztésére és bővítése-Modern Városok Program</t>
  </si>
  <si>
    <t>Városi strandterület hasznosítás engedélyes és kiviteli tervek</t>
  </si>
  <si>
    <t>TOP-6.5.1-00001 Városháza épületének felújítása</t>
  </si>
  <si>
    <t xml:space="preserve">      Finanszírozási műveletek összesen</t>
  </si>
  <si>
    <t xml:space="preserve">     Kiadások és finanszírozási műveletek összesen</t>
  </si>
  <si>
    <t xml:space="preserve">    Működési célú kiadások összesen :</t>
  </si>
  <si>
    <t xml:space="preserve">   MŰKÖDÉSI KIADÁSOK</t>
  </si>
  <si>
    <t xml:space="preserve">   Működési célú bevételek összesen :</t>
  </si>
  <si>
    <t xml:space="preserve">   Finanszírozási műveletek összesen</t>
  </si>
  <si>
    <t xml:space="preserve">                        2016.évi felhalmozási kiadások feladatonként</t>
  </si>
  <si>
    <t>Dell Inspiron 15 notebook Win.10</t>
  </si>
  <si>
    <t>Canon Pixma MX495 nyomtató</t>
  </si>
  <si>
    <t>Kisértékű egyéb gép, berendezés</t>
  </si>
  <si>
    <t>Benq MW529 projektor</t>
  </si>
  <si>
    <t>Bóbita faház drótkötéllel</t>
  </si>
  <si>
    <t>Mérleghinta</t>
  </si>
  <si>
    <t>Láncoshíd</t>
  </si>
  <si>
    <t>Fa szemetes</t>
  </si>
  <si>
    <t>Kisértékű inform. eszk., gépek, egyéb berendezés</t>
  </si>
  <si>
    <t>Tároló kisház</t>
  </si>
  <si>
    <t>Ovi-Foci pálya körüli térburkolat</t>
  </si>
  <si>
    <t>Pencom i3PC</t>
  </si>
  <si>
    <t>Canon MF418X nyomtató</t>
  </si>
  <si>
    <t>NOD 32 program</t>
  </si>
  <si>
    <t>Notebook WIN 10 2 db</t>
  </si>
  <si>
    <t>Szgépes hálózat</t>
  </si>
  <si>
    <t>Ivókút</t>
  </si>
  <si>
    <t>Duramax kerti műanyag és fémház</t>
  </si>
  <si>
    <t>Cannon i-Sensys LBP7010C</t>
  </si>
  <si>
    <t>Canon MF418X fénymásoló</t>
  </si>
  <si>
    <t>Cannon Lide 120 szkenner</t>
  </si>
  <si>
    <t>Wifi router</t>
  </si>
  <si>
    <t>Óvodai kresz park</t>
  </si>
  <si>
    <t>Napvitorla 2 db</t>
  </si>
  <si>
    <t>Philips 243V5LHBS monitor</t>
  </si>
  <si>
    <t>Router TPL WR1043NDV3</t>
  </si>
  <si>
    <t>Mászóvár</t>
  </si>
  <si>
    <t>Ovi-Foci pálya térburkoltos</t>
  </si>
  <si>
    <t>Homokozó 2 db</t>
  </si>
  <si>
    <t>2 db MS Windows Server 2016 OLP HUN</t>
  </si>
  <si>
    <t>Minivár csőalagúttal</t>
  </si>
  <si>
    <t>2 óvodába Ovi-Foci pálya térburkolatos( Barátság, Benczúr)</t>
  </si>
  <si>
    <t>Kneipp park ( Donászy)</t>
  </si>
  <si>
    <t>Gazdag E. Ovi-Foci pálya térburkolatos</t>
  </si>
  <si>
    <t>Hétszínvirág Ovi-Foci pálya térburkolat</t>
  </si>
  <si>
    <t>Barbi hintás torony ( Hétszínvirág)</t>
  </si>
  <si>
    <t>Dombcsúszda dupla csúszdával ( Játéksziget)</t>
  </si>
  <si>
    <t>Kneipp park ( Kőrösi)</t>
  </si>
  <si>
    <t>Hajó Rába ( Maros)</t>
  </si>
  <si>
    <t>Gumitégla ( Mesevár)</t>
  </si>
  <si>
    <t>Hatszög mászóka ( Mocorgó)</t>
  </si>
  <si>
    <t>Dani vár csőalagúttal</t>
  </si>
  <si>
    <t>Kígyó 2 pódiummal ( Napsugár)</t>
  </si>
  <si>
    <t>Rugósjáték 4 személyes ( Napsugár)</t>
  </si>
  <si>
    <t>Körforgó 2 db ( Pipitér)</t>
  </si>
  <si>
    <t>Felnőtt pad tetővel ( Szivárvány)</t>
  </si>
  <si>
    <t>Kerékpártároló ( Szűrcsapó)</t>
  </si>
  <si>
    <t>Ovi-Foci pálya térburkoltos (Szűrcsapó)</t>
  </si>
  <si>
    <t>Kis hajó ( Vadvirág)</t>
  </si>
  <si>
    <t>Bettina mászóvár ( Vadvirág)</t>
  </si>
  <si>
    <t>Dani mászóvár ( Vadvirág)</t>
  </si>
  <si>
    <t>Napvitorla 2 db ( Weöres )</t>
  </si>
  <si>
    <t>Babaház ( Weöres)</t>
  </si>
  <si>
    <t>Drótkötélpálya ( Aréna)</t>
  </si>
  <si>
    <t>Canon image Runner Advance 4225i (3 db)</t>
  </si>
  <si>
    <t>Metabo asztali gyalu HC260</t>
  </si>
  <si>
    <t>Makita asztali körfűrélsz</t>
  </si>
  <si>
    <t>Beépített szekrény</t>
  </si>
  <si>
    <t>Tolóajtós szekrény 2 db ( Maros Óvoda)</t>
  </si>
  <si>
    <t>Beépített szekrény 2 db</t>
  </si>
  <si>
    <t>Tolóajtós szekrény</t>
  </si>
  <si>
    <t>Fa szemetes 2 db ( Aréna )</t>
  </si>
  <si>
    <t>Egyensúlyozó lépegető ( Barátság)</t>
  </si>
  <si>
    <t>Kötélhíd ( Barátság)</t>
  </si>
  <si>
    <t>Köteles lengőgerenda ( Benczúr)</t>
  </si>
  <si>
    <t>Mókuskerék ( Benczúr)</t>
  </si>
  <si>
    <t>Láncos híd ( Benczúr)</t>
  </si>
  <si>
    <t>Kültéri rajztáblák ( Hétszínvirág)</t>
  </si>
  <si>
    <t>Mókuskerék ( Játéksziget)</t>
  </si>
  <si>
    <t>Mérleghinta 2 személyes ( Játéksziget)</t>
  </si>
  <si>
    <t>Kombinált egyensúlyozó ( Mocorgó)</t>
  </si>
  <si>
    <t>Virágláda paddal ( Szivárvány)</t>
  </si>
  <si>
    <t>Kis háromszög mászóka ( Vadvirág )</t>
  </si>
  <si>
    <t>Homokozó ( Vadvirág)</t>
  </si>
  <si>
    <t>Hinta két lapülőkével</t>
  </si>
  <si>
    <t>Kalitka kuckó 2 db ( Vadvirág)</t>
  </si>
  <si>
    <t>Gyermek sörpad ( Vadvirág)</t>
  </si>
  <si>
    <t>Egyéb kisértékű gép, berendezés</t>
  </si>
  <si>
    <t>SNI fejlesztő eszközök</t>
  </si>
  <si>
    <t>Kisértékű eszközök</t>
  </si>
  <si>
    <t>Kisértékű informatikai eszözök beszerzése</t>
  </si>
  <si>
    <t>3 db ugróiskola ( Mesevár)</t>
  </si>
  <si>
    <t>Puskás Sporteszközök</t>
  </si>
  <si>
    <t>Savaria SZKI Sporteszközök</t>
  </si>
  <si>
    <t>Németh Pál Kollégium</t>
  </si>
  <si>
    <t>Iskolabútor beszerzés</t>
  </si>
  <si>
    <t>Informatikai eszk.:Canon ir2520+DADF</t>
  </si>
  <si>
    <t>Iskolabútor beszerzés (kisértékű egyéb gép, berendezés)</t>
  </si>
  <si>
    <t>Egyéb építmény: Játszótér ütéscsillapító</t>
  </si>
  <si>
    <t>Szombathelyi Köznevelési Gamesz-Gothard Jenő  Általásnos Iskola</t>
  </si>
  <si>
    <t>Egyéb építmény: Udvar térburkolat</t>
  </si>
  <si>
    <t>Távolugró pálya</t>
  </si>
  <si>
    <t>Egyéb gép, berendezés:Klíma Toshiba I.ésII.informatikai terem 2 db</t>
  </si>
  <si>
    <t>Szombathelyi Köznevelési Gamesz - Bartók Béla Zenei AMI</t>
  </si>
  <si>
    <t>Informatikai eszk. Canon ir2520+DADF</t>
  </si>
  <si>
    <t>Kisértékű inform. Eszk., gépek, egyéb berendezés</t>
  </si>
  <si>
    <t>Informatikai eszközök:CanoniR2520+DADF</t>
  </si>
  <si>
    <t>Számitástechnikai eszközök beszerzése</t>
  </si>
  <si>
    <t>CANON fénymásoló</t>
  </si>
  <si>
    <t>Mobil aluminium színpadrendszer beszerzése</t>
  </si>
  <si>
    <t>MSH parkettavédő szőnyeg vásárlása</t>
  </si>
  <si>
    <t>Bútorok és egyéb eszközök</t>
  </si>
  <si>
    <t>Fénytechnikai eszközök</t>
  </si>
  <si>
    <t>Hangtechnikai eszközök</t>
  </si>
  <si>
    <t>Rendezvénytechnikai eszközök</t>
  </si>
  <si>
    <t>Információ és kommunikációs technikai eszközök</t>
  </si>
  <si>
    <t>Panasonic PT-VX600AJ projektor</t>
  </si>
  <si>
    <t>Projektor Pamasonic PT-EX800</t>
  </si>
  <si>
    <t>Panasonic ET-ELT20 lencse</t>
  </si>
  <si>
    <t>Panasonic ET-ELT20 lencse II.</t>
  </si>
  <si>
    <t>Lenovo IdeaPad Z51-70+Microsoft Windows10 Hun 64bit</t>
  </si>
  <si>
    <t>DELL Inspiron 5559 Ci7/8G+Microsoft Win10, Office</t>
  </si>
  <si>
    <t>Kombinált gyalu ( Bernardo ADM 260/230V)</t>
  </si>
  <si>
    <t>SSD 240GB Kingston HyperX Fury</t>
  </si>
  <si>
    <t>Formatok gitárhoz</t>
  </si>
  <si>
    <t>Szobrász készlet</t>
  </si>
  <si>
    <t>Faragó készlet</t>
  </si>
  <si>
    <t>Multifunkcionális barkácsgép</t>
  </si>
  <si>
    <t>Projektortartó 2 db</t>
  </si>
  <si>
    <t>Irodabútor vásárlás</t>
  </si>
  <si>
    <t>HUAWEI P8 okostelefon 2 db</t>
  </si>
  <si>
    <t>Gőzállomás Philips</t>
  </si>
  <si>
    <t>Keresztsugaras színező</t>
  </si>
  <si>
    <t>Hosszlyukf. Egység ADM260/310</t>
  </si>
  <si>
    <t>Lábgép EM PEACE P-410 JK</t>
  </si>
  <si>
    <t>Szélcsengő</t>
  </si>
  <si>
    <t>MS Publicher szoftver</t>
  </si>
  <si>
    <t>Bach Artisan harsona</t>
  </si>
  <si>
    <t>Bach Artisan harsona II.</t>
  </si>
  <si>
    <t>Muramatsu Fuvola</t>
  </si>
  <si>
    <t>Oboa</t>
  </si>
  <si>
    <t>Püchner fagott</t>
  </si>
  <si>
    <t>Piccolo Fuvola</t>
  </si>
  <si>
    <t>Külső merevlemez</t>
  </si>
  <si>
    <t>Személyi szgép 3 db</t>
  </si>
  <si>
    <t>Dell Inspiron 15 Black notebook</t>
  </si>
  <si>
    <t>Kanapé 1 db</t>
  </si>
  <si>
    <t>Heverő 2 db</t>
  </si>
  <si>
    <t>Étkező 1 db</t>
  </si>
  <si>
    <t>Ruhás szekrény</t>
  </si>
  <si>
    <t>Tálaló</t>
  </si>
  <si>
    <t>Mikróhullámú sütő</t>
  </si>
  <si>
    <t>Irodabútor-asztal</t>
  </si>
  <si>
    <t>9 db szék -Igazgatói iroda</t>
  </si>
  <si>
    <t>Ipari porszívó</t>
  </si>
  <si>
    <t>60 db kottalámpa csomag</t>
  </si>
  <si>
    <t>60 db kottatartó</t>
  </si>
  <si>
    <t>Brácsa koffertok 2 db</t>
  </si>
  <si>
    <t>GEWA szuperkönnyű hegedőtok</t>
  </si>
  <si>
    <t>Gewa Air 1,7 Hegedőtok</t>
  </si>
  <si>
    <t>Gewa hegedűtok</t>
  </si>
  <si>
    <t>Nagybőgő vonótok 5 db</t>
  </si>
  <si>
    <t>asztali lámpa</t>
  </si>
  <si>
    <t>Cintányér állvány</t>
  </si>
  <si>
    <t>Cintányér</t>
  </si>
  <si>
    <t>Séker-Meinl SH7-L-BK</t>
  </si>
  <si>
    <t>VIC Firth Jazz Brush-Plastic</t>
  </si>
  <si>
    <t>Dixon Cintányér tartó</t>
  </si>
  <si>
    <t>Pergődob</t>
  </si>
  <si>
    <t>Ludwig beütő állvány</t>
  </si>
  <si>
    <t>Dallmahangszer verő</t>
  </si>
  <si>
    <t>Kereplő</t>
  </si>
  <si>
    <t>Medium Amsterdam Triangulum</t>
  </si>
  <si>
    <t>High Carbon SSS. Triangulum</t>
  </si>
  <si>
    <t>Csörgődob</t>
  </si>
  <si>
    <t xml:space="preserve">Adobe Ind.CC App.-1 éves licence </t>
  </si>
  <si>
    <t>Win7 licence.</t>
  </si>
  <si>
    <t>Magic Prof.felolvasó szoftver</t>
  </si>
  <si>
    <t>Számítógép+ win 7 lic.</t>
  </si>
  <si>
    <t>Szgép i3, Win10 Pro Hun.</t>
  </si>
  <si>
    <t>Monitor Samsung S22D300</t>
  </si>
  <si>
    <t>Billentyűzet Magic Large Print</t>
  </si>
  <si>
    <t>APC Smart 750VA szünetmentes tápegység</t>
  </si>
  <si>
    <t>4db LG monitor</t>
  </si>
  <si>
    <t>Epson nyomtató</t>
  </si>
  <si>
    <t>Projektor 2 db</t>
  </si>
  <si>
    <t>Canon Scan</t>
  </si>
  <si>
    <t>Canon MG 2450 nyomtató</t>
  </si>
  <si>
    <t>Samsung multifunkcionális nyomtató</t>
  </si>
  <si>
    <t>20db notebook .Dell, win10Home, Office</t>
  </si>
  <si>
    <t>3 db hősugárzó</t>
  </si>
  <si>
    <t>Vezetékes telefon 2 db</t>
  </si>
  <si>
    <t>Forgószék 6 db</t>
  </si>
  <si>
    <t>Fellépő</t>
  </si>
  <si>
    <t>65 db karfás szék</t>
  </si>
  <si>
    <t>vezetékes telefon</t>
  </si>
  <si>
    <t>kerékpár+kerékpárzár</t>
  </si>
  <si>
    <t>2 db 9 fiókos fémszekrény</t>
  </si>
  <si>
    <t>5 db fotel</t>
  </si>
  <si>
    <t>4 db bankettasztal</t>
  </si>
  <si>
    <t>1 db asztal</t>
  </si>
  <si>
    <t>3 szekrény</t>
  </si>
  <si>
    <t>szőnyeg, 4 db babzsákfotel, falióra</t>
  </si>
  <si>
    <t>kézikocsi</t>
  </si>
  <si>
    <t>Meseasztal/2 tablet, fejhallgató, szék, 1 asztal</t>
  </si>
  <si>
    <t>Canon digitális fényképező</t>
  </si>
  <si>
    <t>3 vetítő vászon , 1 flipchart tábla</t>
  </si>
  <si>
    <t>Philips CD lejátszó</t>
  </si>
  <si>
    <t>Nikon CollpixA 10 dig.fényképező</t>
  </si>
  <si>
    <t>Sony W830 digitális fényképező</t>
  </si>
  <si>
    <t>Polc, babzsákok, fotelok</t>
  </si>
  <si>
    <t>Íróasztal</t>
  </si>
  <si>
    <t>Szőnyeg</t>
  </si>
  <si>
    <t>Hangfal 2 db</t>
  </si>
  <si>
    <t>33 db fotel</t>
  </si>
  <si>
    <t>18 db dobogó</t>
  </si>
  <si>
    <t>HP Laserjet M506x nyomtató</t>
  </si>
  <si>
    <t>OPEL Corsa NYK-197 szgk</t>
  </si>
  <si>
    <t>Dell Vosto notebook támogatás</t>
  </si>
  <si>
    <t xml:space="preserve">Dell Latitude 3470 notebook 2 db </t>
  </si>
  <si>
    <t>Kállítás III. ütem</t>
  </si>
  <si>
    <t>Salgó polcrendszer</t>
  </si>
  <si>
    <t>Fémkereső műszer</t>
  </si>
  <si>
    <t>V100 GNSS RTK Rover PS336 vezérlővel</t>
  </si>
  <si>
    <t>ELSEC 765C mérőműszer</t>
  </si>
  <si>
    <t>Fitóbogár gyűjtemény</t>
  </si>
  <si>
    <t>Panda vírusírtó 55 db</t>
  </si>
  <si>
    <t>Szgép office 2016H&amp;B Oem</t>
  </si>
  <si>
    <t>Monitor 10 db</t>
  </si>
  <si>
    <t>Synology Diskstation DS</t>
  </si>
  <si>
    <t xml:space="preserve">Merevlemez </t>
  </si>
  <si>
    <t>Külső HDD 2 db</t>
  </si>
  <si>
    <t>Kávégép</t>
  </si>
  <si>
    <t>LenovoA60000 bleck telefon</t>
  </si>
  <si>
    <t>Makita HR2630 vésőkalapács</t>
  </si>
  <si>
    <t>Einhell festékkeverő</t>
  </si>
  <si>
    <t>Sarokcsiszoló</t>
  </si>
  <si>
    <t>Topline csempevágó</t>
  </si>
  <si>
    <t>Lenovo A60000bleck telefon</t>
  </si>
  <si>
    <t>Pentax K-50 digitális fényképező</t>
  </si>
  <si>
    <t>Adapter</t>
  </si>
  <si>
    <t>Céltárgy tartó</t>
  </si>
  <si>
    <t>Karóállító libella</t>
  </si>
  <si>
    <t>Prizmabot 4,6 m</t>
  </si>
  <si>
    <t>Miniprizma-kompakt</t>
  </si>
  <si>
    <t>Laparaszerelt tárolószekrény</t>
  </si>
  <si>
    <t>Görgős fiókos szekrény</t>
  </si>
  <si>
    <t>Szekrény 6 db</t>
  </si>
  <si>
    <t>Hungarocellvágó</t>
  </si>
  <si>
    <t>Iratmegsemmisítő</t>
  </si>
  <si>
    <t>Festő létra</t>
  </si>
  <si>
    <t>Mobil klíma berendezés</t>
  </si>
  <si>
    <t>Anyagnedvesség mérő</t>
  </si>
  <si>
    <t>Samsung mobiltelefon</t>
  </si>
  <si>
    <t>Vákuumos üvegemelő 2 db</t>
  </si>
  <si>
    <t>Ütvefúrógép</t>
  </si>
  <si>
    <t>Extol üvegemelő</t>
  </si>
  <si>
    <t>Fortum kompinált fogó</t>
  </si>
  <si>
    <t>akasztós szerszámtartó</t>
  </si>
  <si>
    <t>Kártyafüggetlen okostelefon</t>
  </si>
  <si>
    <t>Fotótáska</t>
  </si>
  <si>
    <t>"Savaria Anno" 3 db kézzel festett selyemzászló</t>
  </si>
  <si>
    <t>Solti Gizella: Flóra</t>
  </si>
  <si>
    <t>"Tegnap-ma" művészi alkotás</t>
  </si>
  <si>
    <t>Veres Gábor :8,5 Megajoule</t>
  </si>
  <si>
    <t>Selmecbánya látképe -alkotás</t>
  </si>
  <si>
    <t>Panda vírusirtó 19 db</t>
  </si>
  <si>
    <t>Számítógép konfiguráció</t>
  </si>
  <si>
    <t>Canon Pixma IP7250 fotónyomtató</t>
  </si>
  <si>
    <t>LG 21,5" 22MT44D-PZ LED TV</t>
  </si>
  <si>
    <t>Printer HP  officejet</t>
  </si>
  <si>
    <t>IMETEC ventilátoros hősugárzó</t>
  </si>
  <si>
    <t>Benzines fűkasza</t>
  </si>
  <si>
    <t>Ventilátor</t>
  </si>
  <si>
    <t>ECG ventilátor</t>
  </si>
  <si>
    <t>Ventilátoros hősugárzó</t>
  </si>
  <si>
    <t>2 lapos főzőlap</t>
  </si>
  <si>
    <t>Orion kávéfőző</t>
  </si>
  <si>
    <t>LG K3 LTE indigó mibiltelefon</t>
  </si>
  <si>
    <t>Sencor ébresztőóra</t>
  </si>
  <si>
    <t>Sencor SMP  multimédia lejátszó</t>
  </si>
  <si>
    <t>Szent Márton és Pannónia kiállítás</t>
  </si>
  <si>
    <t>Behatolásjelző rendszer</t>
  </si>
  <si>
    <t>Raklapemelő 1,5t</t>
  </si>
  <si>
    <t>Panda vírusirtó 16 db</t>
  </si>
  <si>
    <t>USB külső winchester</t>
  </si>
  <si>
    <t>Elektromos minisütő</t>
  </si>
  <si>
    <t>Mambo ülőke 20 db</t>
  </si>
  <si>
    <t>12 fokos támasztó létra</t>
  </si>
  <si>
    <t>Rekonstruált római kápolna makett</t>
  </si>
  <si>
    <t>Panda vírusírtó 5 db</t>
  </si>
  <si>
    <t>Notebook Asus</t>
  </si>
  <si>
    <t>Térkép tábla</t>
  </si>
  <si>
    <t>biliárd asztali</t>
  </si>
  <si>
    <t>Lenovo A2010 black telefon</t>
  </si>
  <si>
    <t>Laptop asztal 2 db</t>
  </si>
  <si>
    <t>íróasztal</t>
  </si>
  <si>
    <t>Állítható laptopasztal</t>
  </si>
  <si>
    <t>Görgős laptopállvány</t>
  </si>
  <si>
    <t>Irodaszekrények</t>
  </si>
  <si>
    <t>Tárgyalószékek</t>
  </si>
  <si>
    <t>Szerszámkészlet</t>
  </si>
  <si>
    <t>Biloxxi összecsukható kocsi</t>
  </si>
  <si>
    <t>Flexibilis női kirakati baba</t>
  </si>
  <si>
    <t>Beach flag szerkezet</t>
  </si>
  <si>
    <t>Vasi Szemle szerkeztősége</t>
  </si>
  <si>
    <t>Panda vírusírtó 3 db</t>
  </si>
  <si>
    <t>Asztali olvasólámpa</t>
  </si>
  <si>
    <t>Panda vírusírtó 21 db</t>
  </si>
  <si>
    <t>Emberi csontváz</t>
  </si>
  <si>
    <t>LG Spirit mobiltelefon</t>
  </si>
  <si>
    <t>Alulétra 6 fokos</t>
  </si>
  <si>
    <t>Asztali ledes lámpa</t>
  </si>
  <si>
    <t>Hőlégfúvó 1750W</t>
  </si>
  <si>
    <t>3D toll 6 db-os</t>
  </si>
  <si>
    <t>Naprendszer a szobában</t>
  </si>
  <si>
    <t xml:space="preserve">Kültéri játékok </t>
  </si>
  <si>
    <t>Spanyolotott fűszertartó</t>
  </si>
  <si>
    <t>Szatócsbolt</t>
  </si>
  <si>
    <t>ILAM A3 laminló</t>
  </si>
  <si>
    <t>Makita körfűrész</t>
  </si>
  <si>
    <t>Makita sarolcsiszoló 9558HNR840W</t>
  </si>
  <si>
    <t>Ágvágóolló</t>
  </si>
  <si>
    <t>Járdányi Paulkovics István Romkert</t>
  </si>
  <si>
    <t>Átjáró és védőkorlát</t>
  </si>
  <si>
    <t>Microsoft Lumia black telefon</t>
  </si>
  <si>
    <t>Excenteres csiszoló</t>
  </si>
  <si>
    <t>Hulladéktömörítő prés berendezés beszerzése</t>
  </si>
  <si>
    <t>Feljáró a hulladéktömörítő géphez</t>
  </si>
  <si>
    <t>12 db hulladékgyűjtő beszerzése</t>
  </si>
  <si>
    <t>1 db mérleg beszerzése</t>
  </si>
  <si>
    <t>GESZ informatikai eszközök</t>
  </si>
  <si>
    <t xml:space="preserve">12 db Office 2016 szoftver használati jog </t>
  </si>
  <si>
    <t>Védőnői szolgálat számtech. eszközeinek cseréje</t>
  </si>
  <si>
    <t>Házi gyermekorvosok eszközpótlása</t>
  </si>
  <si>
    <t>Fogorvosi ügyelet eszközpótlása</t>
  </si>
  <si>
    <t>Wesslényi u. GESZ központ eszközbiztosítása</t>
  </si>
  <si>
    <t>12 db háziorvosi rendelő WIFI rendelő WIFI rendszer kiépítése</t>
  </si>
  <si>
    <t>Szombathelyi Egyesített Bölcsödei Intézmény</t>
  </si>
  <si>
    <t>SHARP másológép+gépasztal</t>
  </si>
  <si>
    <t>Vezeték nélküli telefon</t>
  </si>
  <si>
    <t>Vezetékes telefon</t>
  </si>
  <si>
    <t>Telefonközpont</t>
  </si>
  <si>
    <t>Saját készítésű bútor( Csercsics Faipari Kft)</t>
  </si>
  <si>
    <t>Élelmezési csoport</t>
  </si>
  <si>
    <t>Számítógép ésmonitor</t>
  </si>
  <si>
    <t>Függöny</t>
  </si>
  <si>
    <t>2 db gumiabroncs</t>
  </si>
  <si>
    <t>Akkumlátor autóba LOX-259</t>
  </si>
  <si>
    <t>Szgép+monitor, Notebook, Sharp másológép, Samsung monitor</t>
  </si>
  <si>
    <t>Lamináló gép</t>
  </si>
  <si>
    <t>Micimackós játszóház csúzdával</t>
  </si>
  <si>
    <t>Kávéfőző gép</t>
  </si>
  <si>
    <t>Mobiltelefon</t>
  </si>
  <si>
    <t>Falióra</t>
  </si>
  <si>
    <t>Samsung monitor,HP Lézernyomtató</t>
  </si>
  <si>
    <t>Mini Hifi</t>
  </si>
  <si>
    <t>Takarítógép</t>
  </si>
  <si>
    <t>3 db irodabútor</t>
  </si>
  <si>
    <t>Samsung monitor, számítógép, HP Lézernyomtató</t>
  </si>
  <si>
    <t>Porszívó</t>
  </si>
  <si>
    <t>Samsung monitor,  HP Lézernyomtató</t>
  </si>
  <si>
    <t>Bordásfal</t>
  </si>
  <si>
    <t>Panasonic Hifi torony</t>
  </si>
  <si>
    <t>Hotpoint Ariston Mosogatógép</t>
  </si>
  <si>
    <t>Bosch mosogatógép</t>
  </si>
  <si>
    <t>Samsung monitor</t>
  </si>
  <si>
    <t>Lábtörlő</t>
  </si>
  <si>
    <t>SMOBY Jóbarátok házikó</t>
  </si>
  <si>
    <t>Philips/FC8592/91 Porszívó</t>
  </si>
  <si>
    <t>Bosch turmixgép</t>
  </si>
  <si>
    <t>Multimate Motor alapgép és sövényvágó</t>
  </si>
  <si>
    <t>Kölségvetési analítika program</t>
  </si>
  <si>
    <t>3 db fénymásoló vásárlás</t>
  </si>
  <si>
    <t>Gondozóházba árnyékoló beszerzés</t>
  </si>
  <si>
    <t>Nyomtatóhoz papiradagoló</t>
  </si>
  <si>
    <t>SEAT típusú gépjármű vásárlása</t>
  </si>
  <si>
    <t>1 éven túli 200 e Ft alatti informatikai eszköz beszerése</t>
  </si>
  <si>
    <t>Konténer 3 fiókos</t>
  </si>
  <si>
    <t>Billentyűzettartó</t>
  </si>
  <si>
    <t>2 db szőnyeg</t>
  </si>
  <si>
    <t>Telefonkészülék</t>
  </si>
  <si>
    <t>Irodabútor (asztal+2 polc)</t>
  </si>
  <si>
    <t>ágyasztal</t>
  </si>
  <si>
    <t>2 db elöltöltős mosógép</t>
  </si>
  <si>
    <t>asztal+4 szék</t>
  </si>
  <si>
    <t>Állólámpa</t>
  </si>
  <si>
    <t>kisszekrény</t>
  </si>
  <si>
    <t>Kerti szék 6 db</t>
  </si>
  <si>
    <t>Pirograf forrasztópáka</t>
  </si>
  <si>
    <t>Hajszárító búra</t>
  </si>
  <si>
    <t>Lemezjátszó</t>
  </si>
  <si>
    <t>Kávéfőző gép II</t>
  </si>
  <si>
    <t>Mikrósütő II.</t>
  </si>
  <si>
    <t>Hűtőszekrény</t>
  </si>
  <si>
    <t>2 db felültöltős mosógép</t>
  </si>
  <si>
    <t>Mosogatógép</t>
  </si>
  <si>
    <t>Elektromos konvektor</t>
  </si>
  <si>
    <t>Rezsó 5 db</t>
  </si>
  <si>
    <t>Hűtőszekrény 2 db</t>
  </si>
  <si>
    <t>Kerékpár</t>
  </si>
  <si>
    <t>Lombszívó</t>
  </si>
  <si>
    <t>Fűkasza</t>
  </si>
  <si>
    <t>Forgószékek 8 db</t>
  </si>
  <si>
    <t>Asztal 2 db</t>
  </si>
  <si>
    <t>3 fiókos konténer 2db</t>
  </si>
  <si>
    <t>Asztali lámpa 7db</t>
  </si>
  <si>
    <t>Gardróbszekrény  5 db</t>
  </si>
  <si>
    <t>SMART LED TV</t>
  </si>
  <si>
    <t>Billentyűzet TV-hez</t>
  </si>
  <si>
    <t>2 db Tv faltartó</t>
  </si>
  <si>
    <t>Sörpad</t>
  </si>
  <si>
    <t>Ágyaszta 4 db</t>
  </si>
  <si>
    <t>Vércukormérő 3 db</t>
  </si>
  <si>
    <t>Iratmegsemmisitő 4 db</t>
  </si>
  <si>
    <t>Szünetmentes tápegység</t>
  </si>
  <si>
    <t>4 db fotel</t>
  </si>
  <si>
    <t xml:space="preserve">tárgyalószék </t>
  </si>
  <si>
    <t>1 db személygépkocsi  beszerzése</t>
  </si>
  <si>
    <t>1 db személygépkocsi beszerzése</t>
  </si>
  <si>
    <t>Hivatal működéséhez eszközbeszerzések</t>
  </si>
  <si>
    <t>Kerékpáros szerelőpont kiépítése</t>
  </si>
  <si>
    <t>Északi irodák klimatizálása</t>
  </si>
  <si>
    <t>Fényképezőgép és optika vásárlás</t>
  </si>
  <si>
    <t>Ingatlan vagyonkataszteri rendszer</t>
  </si>
  <si>
    <t>E-Rat irodai nyilvántartó program</t>
  </si>
  <si>
    <t>Nikon digitális fényképezőgép 8 db</t>
  </si>
  <si>
    <t>Akkumlátor töltő 2 db</t>
  </si>
  <si>
    <t>Explorer 10 head szett</t>
  </si>
  <si>
    <t>Forgószék 4 db</t>
  </si>
  <si>
    <t>Tárgyalószék 26 db</t>
  </si>
  <si>
    <t>Mobiltelefon 5 db</t>
  </si>
  <si>
    <t>Automata kávéfőző</t>
  </si>
  <si>
    <t>Állategészségügyi és Ebrendészeti Szolgálat</t>
  </si>
  <si>
    <t>Betonút létesítése</t>
  </si>
  <si>
    <t>Szennyvízelevezető cső elhelyezése</t>
  </si>
  <si>
    <t>Új kennelek létesítése, meglévőek felújítása</t>
  </si>
  <si>
    <t>Bejárati kapu automatizálása</t>
  </si>
  <si>
    <t xml:space="preserve">Benzinmotoros </t>
  </si>
  <si>
    <t>Kutyaház 4 db</t>
  </si>
  <si>
    <t>2016.évi felújítási kiadások célonként</t>
  </si>
  <si>
    <t>Mesevár  Óvoda</t>
  </si>
  <si>
    <t>Galéria kialakítása</t>
  </si>
  <si>
    <t xml:space="preserve">Beépített szekrény </t>
  </si>
  <si>
    <t>Számítógépes hálózat kiépítése</t>
  </si>
  <si>
    <t>Ajtócserék</t>
  </si>
  <si>
    <t>Burkolás és vízszerelés</t>
  </si>
  <si>
    <t>Ablakcsere</t>
  </si>
  <si>
    <t>Belső felújítás</t>
  </si>
  <si>
    <t>Parkoló és kerékpártároló kialakítása</t>
  </si>
  <si>
    <t>Kerékpártároló létesítése</t>
  </si>
  <si>
    <t>Parkoló festése</t>
  </si>
  <si>
    <t>Kétszárnyú motoros kapu beszerelése</t>
  </si>
  <si>
    <t>Donászy Magda óvoda</t>
  </si>
  <si>
    <t>Pancsoló kilépő felújítása</t>
  </si>
  <si>
    <t>Tornaszoba kialakítása</t>
  </si>
  <si>
    <t>Weörös Sándor Óvoda</t>
  </si>
  <si>
    <t xml:space="preserve">Informatikai  eszközök felújítása </t>
  </si>
  <si>
    <t>Riasztórendszer felújítása</t>
  </si>
  <si>
    <t>Gáz fűtés korszerűsítés</t>
  </si>
  <si>
    <t>Tanulmányterv, előkészítő munka ( Vadvirág)</t>
  </si>
  <si>
    <t>Műfű telepítése</t>
  </si>
  <si>
    <t>Informatikai hálózat kiépítése</t>
  </si>
  <si>
    <t>Műanyag nyílászárók beszerelése</t>
  </si>
  <si>
    <t>Használt műfű telepítés</t>
  </si>
  <si>
    <t>Kazán korszerűsítés dijai</t>
  </si>
  <si>
    <t>Sportpálya öntött gumiburkolat elhelyezése</t>
  </si>
  <si>
    <t>Udvari burkolat építése</t>
  </si>
  <si>
    <t>Vizesblokk felújítása</t>
  </si>
  <si>
    <t>Lapostető szigetelése</t>
  </si>
  <si>
    <t>Szombathelyi Bartók Béla Zenei AMI</t>
  </si>
  <si>
    <t>II.emeleti folyosó felújítása</t>
  </si>
  <si>
    <t>Kamaraterem, folyosó felújítása</t>
  </si>
  <si>
    <t>I. és II.emeleti ablakcsere</t>
  </si>
  <si>
    <t>Női mosdó felújítása</t>
  </si>
  <si>
    <t>Szombathelyi Köznevelési Gamesz  -Németh Pál Kollégium</t>
  </si>
  <si>
    <t>Zuhanyfülke felújítása</t>
  </si>
  <si>
    <t>Videó megfigyelő rendszer beszerzése</t>
  </si>
  <si>
    <t>Emeleti vizesblokk felújítása</t>
  </si>
  <si>
    <t>Kézilabdapálya  felújítása</t>
  </si>
  <si>
    <t>Folyosó és lépcsőház falburkolat felújítása</t>
  </si>
  <si>
    <t>Informatikai hálózat kiépítése kiépítése</t>
  </si>
  <si>
    <t>Szombathelyi Köznevelési Gamesz - Zrínyi Ilona   Általános Iskola</t>
  </si>
  <si>
    <t>Raktárrész kialakítása</t>
  </si>
  <si>
    <t>Magastető helyreállítása</t>
  </si>
  <si>
    <t>Kazán korszerűsítés díja</t>
  </si>
  <si>
    <t>MSH tűzjelző rendszer kiegészítése</t>
  </si>
  <si>
    <t>Belső építészeti tervezési  díj</t>
  </si>
  <si>
    <t>Gipszkarton szerelés</t>
  </si>
  <si>
    <t>Előkészítő terv</t>
  </si>
  <si>
    <t>Előzetes terv Vasi Füstfaragók</t>
  </si>
  <si>
    <t>Építészeti terv</t>
  </si>
  <si>
    <t xml:space="preserve">Váci rendelő fűtéskorszerűsítése </t>
  </si>
  <si>
    <t>Wesselényi u.4. felújítási munkái</t>
  </si>
  <si>
    <t>Domonkos u. 5. épület felújítása-bajárati ajtó csere</t>
  </si>
  <si>
    <t>Radiátor csere</t>
  </si>
  <si>
    <t>Széll K. u.4. bejátart előtti térkövezés</t>
  </si>
  <si>
    <t>Klímatechnikai berendezés beszerelése</t>
  </si>
  <si>
    <t>Közterület-felügyelet</t>
  </si>
  <si>
    <t>Asztal, tárgyalóasztal , tárgyalószék, kiegészítő bútor beszerzése</t>
  </si>
  <si>
    <t>Dob vásárlás</t>
  </si>
  <si>
    <t>TOP-6.3.1-15 Szombathely Szent László Király utcai felhagyott iparterület fejlesztése ford.áfa</t>
  </si>
  <si>
    <t xml:space="preserve">                  Szombathely Megyei Jogú Város Önkormányzat Intézményei</t>
  </si>
  <si>
    <t>Szombathely Megyei Jogú Város Önkormányzat Intézményei</t>
  </si>
  <si>
    <t>Előző évi előirányzat-maradványának, pénzmaradványának igénybevétele</t>
  </si>
  <si>
    <t xml:space="preserve">       A " Lakásalap" 1994-2016. közötti bevételeiről és kiadásairól</t>
  </si>
  <si>
    <t>Önkormányzatok általános működésének és ágazati feladatainak támogatása</t>
  </si>
  <si>
    <t>MEGNEVEZÉS</t>
  </si>
  <si>
    <t>2016. évi</t>
  </si>
  <si>
    <t>eltérés</t>
  </si>
  <si>
    <t>előirányzat</t>
  </si>
  <si>
    <t>I. Helyi önkormányzatok működésének általános támogatása</t>
  </si>
  <si>
    <t>Nem közművel összegyűjtött háztartási szennyvíz ártalmatlanítása</t>
  </si>
  <si>
    <t>A 2015.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</si>
  <si>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</si>
  <si>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</si>
  <si>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</si>
  <si>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</si>
  <si>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</si>
  <si>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</si>
  <si>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</si>
  <si>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</si>
  <si>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</si>
  <si>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</si>
  <si>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</si>
  <si>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</si>
  <si>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Pénzbeli szociális ellátások kiegészítése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</si>
  <si>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</si>
  <si>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</si>
  <si>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</si>
  <si>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</si>
  <si>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</si>
  <si>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</si>
  <si>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</si>
  <si>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</si>
  <si>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</si>
  <si>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</si>
  <si>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</si>
  <si>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</si>
  <si>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</si>
  <si>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</si>
  <si>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</si>
  <si>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</si>
  <si>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</si>
  <si>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</si>
  <si>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c./ A rászoruló gyermekek intézményen kívüli szünidei étkeztetésének támogatása</t>
  </si>
  <si>
    <t>6. Szociális ágazati pótlék</t>
  </si>
  <si>
    <t>7. Kiegészítő támogatás a bölcsődében foglalkoztatott, felsőfokú végzettségű kisgyermeknevelők béréhez</t>
  </si>
  <si>
    <t>8. Szociális ágazatban dolgozók részére nyújtott kiegészítő pótlék</t>
  </si>
  <si>
    <t>III. Összesen</t>
  </si>
  <si>
    <t>eredeti</t>
  </si>
  <si>
    <t>módosított</t>
  </si>
  <si>
    <t xml:space="preserve">V.sz. </t>
  </si>
  <si>
    <t>3. Összesen</t>
  </si>
  <si>
    <t>4. Összesen</t>
  </si>
  <si>
    <t>5.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</si>
</sst>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00"/>
    <numFmt numFmtId="165" formatCode="0.00000"/>
    <numFmt numFmtId="166" formatCode="_-* #,##0\ _F_t_-;\-* #,##0\ _F_t_-;_-* &quot;-&quot;??\ _F_t_-;_-@_-"/>
  </numFmts>
  <fonts count="196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CE"/>
      <family val="2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4"/>
      <name val="Arial"/>
      <family val="2"/>
    </font>
    <font>
      <b/>
      <sz val="18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sz val="12"/>
      <name val="Times New Roman CE"/>
      <charset val="238"/>
    </font>
    <font>
      <b/>
      <i/>
      <sz val="12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name val="Arial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</font>
    <font>
      <sz val="10"/>
      <name val="Arial CE"/>
    </font>
    <font>
      <sz val="14"/>
      <name val="Times New Roman CE"/>
      <family val="1"/>
      <charset val="238"/>
    </font>
    <font>
      <sz val="20"/>
      <name val="Arial CE"/>
    </font>
    <font>
      <b/>
      <sz val="26"/>
      <name val="Arial CE"/>
      <family val="2"/>
      <charset val="238"/>
    </font>
    <font>
      <b/>
      <sz val="20"/>
      <name val="Arial CE"/>
    </font>
    <font>
      <b/>
      <sz val="20"/>
      <name val="Arial"/>
      <family val="2"/>
      <charset val="238"/>
    </font>
    <font>
      <b/>
      <sz val="20"/>
      <name val="Arial CE"/>
      <family val="2"/>
      <charset val="238"/>
    </font>
    <font>
      <b/>
      <sz val="20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"/>
      <family val="2"/>
      <charset val="238"/>
    </font>
    <font>
      <b/>
      <sz val="20"/>
      <name val="Arial CE"/>
      <charset val="238"/>
    </font>
    <font>
      <b/>
      <sz val="16"/>
      <name val="Arial CE"/>
    </font>
    <font>
      <sz val="22"/>
      <name val="Times New Roman CE"/>
      <family val="1"/>
      <charset val="238"/>
    </font>
    <font>
      <sz val="22"/>
      <name val="Arial"/>
      <family val="2"/>
      <charset val="238"/>
    </font>
    <font>
      <b/>
      <sz val="22"/>
      <name val="Arial"/>
      <family val="2"/>
      <charset val="238"/>
    </font>
    <font>
      <b/>
      <i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11"/>
      <color indexed="10"/>
      <name val="Arial CE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sz val="12"/>
      <color rgb="FFFF0000"/>
      <name val="Arial"/>
      <family val="2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sz val="34"/>
      <color rgb="FFFF0000"/>
      <name val="Arial CE"/>
      <charset val="238"/>
    </font>
    <font>
      <b/>
      <i/>
      <sz val="36"/>
      <name val="Arial CE"/>
      <charset val="238"/>
    </font>
    <font>
      <b/>
      <sz val="36"/>
      <color rgb="FFFF0000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b/>
      <sz val="20"/>
      <color indexed="10"/>
      <name val="Arial CE"/>
      <charset val="238"/>
    </font>
    <font>
      <sz val="20"/>
      <name val="Arial CE"/>
      <charset val="238"/>
    </font>
    <font>
      <b/>
      <sz val="30"/>
      <name val="Arial CE"/>
      <family val="2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sz val="34"/>
      <name val="Arial CE"/>
      <charset val="238"/>
    </font>
    <font>
      <b/>
      <i/>
      <sz val="34"/>
      <name val="Arial CE"/>
      <charset val="238"/>
    </font>
    <font>
      <b/>
      <sz val="40"/>
      <name val="Arial CE"/>
      <family val="2"/>
      <charset val="238"/>
    </font>
    <font>
      <sz val="40"/>
      <name val="Arial CE"/>
      <family val="2"/>
      <charset val="238"/>
    </font>
    <font>
      <sz val="36"/>
      <name val="Times New Roman CE"/>
      <charset val="238"/>
    </font>
    <font>
      <b/>
      <sz val="30"/>
      <name val="Times New Roman CE"/>
      <charset val="238"/>
    </font>
    <font>
      <b/>
      <sz val="32"/>
      <name val="Arial CE"/>
      <charset val="238"/>
    </font>
    <font>
      <b/>
      <sz val="32"/>
      <name val="Arial CE"/>
      <family val="2"/>
      <charset val="238"/>
    </font>
    <font>
      <sz val="32"/>
      <name val="Times New Roman CE"/>
      <charset val="238"/>
    </font>
    <font>
      <b/>
      <i/>
      <sz val="32"/>
      <name val="Arial CE"/>
      <charset val="238"/>
    </font>
    <font>
      <b/>
      <i/>
      <sz val="32"/>
      <name val="Arial CE"/>
      <family val="2"/>
      <charset val="238"/>
    </font>
    <font>
      <b/>
      <i/>
      <sz val="13"/>
      <name val="Arial CE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"/>
      <family val="2"/>
      <charset val="238"/>
    </font>
    <font>
      <b/>
      <sz val="13"/>
      <name val="Arial CE"/>
      <charset val="238"/>
    </font>
    <font>
      <b/>
      <u/>
      <sz val="18"/>
      <name val="Arial CE"/>
      <family val="2"/>
      <charset val="238"/>
    </font>
    <font>
      <sz val="18"/>
      <name val="Arial CE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 CE"/>
    </font>
    <font>
      <i/>
      <sz val="22"/>
      <name val="Arial"/>
      <family val="2"/>
      <charset val="238"/>
    </font>
    <font>
      <sz val="24"/>
      <name val="Arial CE"/>
    </font>
    <font>
      <sz val="26"/>
      <name val="Times New Roman CE"/>
      <family val="1"/>
      <charset val="238"/>
    </font>
    <font>
      <b/>
      <i/>
      <sz val="18"/>
      <name val="Arial"/>
      <family val="2"/>
      <charset val="238"/>
    </font>
    <font>
      <b/>
      <u/>
      <sz val="18"/>
      <name val="Arial"/>
      <family val="2"/>
      <charset val="238"/>
    </font>
    <font>
      <sz val="26"/>
      <name val="Arial CE"/>
      <charset val="238"/>
    </font>
    <font>
      <b/>
      <sz val="26"/>
      <name val="Arial"/>
      <family val="2"/>
      <charset val="238"/>
    </font>
    <font>
      <sz val="8"/>
      <name val="Arial"/>
      <family val="2"/>
      <charset val="238"/>
    </font>
    <font>
      <b/>
      <sz val="14"/>
      <color rgb="FFFF0000"/>
      <name val="Arial CE"/>
      <charset val="238"/>
    </font>
    <font>
      <b/>
      <sz val="19"/>
      <name val="Arial CE"/>
      <family val="2"/>
      <charset val="238"/>
    </font>
    <font>
      <sz val="8"/>
      <name val="Arial CE"/>
    </font>
    <font>
      <i/>
      <sz val="14"/>
      <name val="Arial CE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8" borderId="0" applyNumberFormat="0" applyBorder="0" applyAlignment="0" applyProtection="0"/>
    <xf numFmtId="0" fontId="44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16" borderId="0" applyNumberFormat="0" applyBorder="0" applyAlignment="0" applyProtection="0"/>
    <xf numFmtId="0" fontId="44" fillId="12" borderId="0" applyNumberFormat="0" applyBorder="0" applyAlignment="0" applyProtection="0"/>
    <xf numFmtId="0" fontId="44" fillId="4" borderId="0" applyNumberFormat="0" applyBorder="0" applyAlignment="0" applyProtection="0"/>
    <xf numFmtId="0" fontId="44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45" fillId="19" borderId="0" applyNumberFormat="0" applyBorder="0" applyAlignment="0" applyProtection="0"/>
    <xf numFmtId="0" fontId="45" fillId="5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3" borderId="0" applyNumberFormat="0" applyBorder="0" applyAlignment="0" applyProtection="0"/>
    <xf numFmtId="0" fontId="46" fillId="10" borderId="0" applyNumberFormat="0" applyBorder="0" applyAlignment="0" applyProtection="0"/>
    <xf numFmtId="0" fontId="24" fillId="15" borderId="1" applyNumberFormat="0" applyAlignment="0" applyProtection="0"/>
    <xf numFmtId="0" fontId="47" fillId="24" borderId="1" applyNumberFormat="0" applyAlignment="0" applyProtection="0"/>
    <xf numFmtId="0" fontId="48" fillId="25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5" borderId="2" applyNumberFormat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11" borderId="0" applyNumberFormat="0" applyBorder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3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54" fillId="7" borderId="1" applyNumberFormat="0" applyAlignment="0" applyProtection="0"/>
    <xf numFmtId="0" fontId="1" fillId="6" borderId="10" applyNumberFormat="0" applyFont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1" fillId="8" borderId="0" applyNumberFormat="0" applyBorder="0" applyAlignment="0" applyProtection="0"/>
    <xf numFmtId="0" fontId="32" fillId="26" borderId="11" applyNumberFormat="0" applyAlignment="0" applyProtection="0"/>
    <xf numFmtId="0" fontId="55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56" fillId="15" borderId="0" applyNumberFormat="0" applyBorder="0" applyAlignment="0" applyProtection="0"/>
    <xf numFmtId="0" fontId="74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6" borderId="10" applyNumberFormat="0" applyFont="0" applyAlignment="0" applyProtection="0"/>
    <xf numFmtId="0" fontId="57" fillId="24" borderId="11" applyNumberFormat="0" applyAlignment="0" applyProtection="0"/>
    <xf numFmtId="0" fontId="34" fillId="0" borderId="13" applyNumberFormat="0" applyFill="0" applyAlignment="0" applyProtection="0"/>
    <xf numFmtId="0" fontId="35" fillId="12" borderId="0" applyNumberFormat="0" applyBorder="0" applyAlignment="0" applyProtection="0"/>
    <xf numFmtId="0" fontId="36" fillId="15" borderId="0" applyNumberFormat="0" applyBorder="0" applyAlignment="0" applyProtection="0"/>
    <xf numFmtId="0" fontId="37" fillId="26" borderId="1" applyNumberFormat="0" applyAlignment="0" applyProtection="0"/>
    <xf numFmtId="0" fontId="58" fillId="0" borderId="0" applyNumberFormat="0" applyFill="0" applyBorder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92" fillId="0" borderId="0"/>
    <xf numFmtId="0" fontId="92" fillId="0" borderId="0"/>
    <xf numFmtId="0" fontId="2" fillId="0" borderId="0"/>
    <xf numFmtId="0" fontId="2" fillId="0" borderId="0"/>
    <xf numFmtId="0" fontId="92" fillId="0" borderId="0"/>
    <xf numFmtId="0" fontId="115" fillId="0" borderId="0"/>
    <xf numFmtId="0" fontId="115" fillId="0" borderId="0"/>
    <xf numFmtId="0" fontId="115" fillId="0" borderId="0"/>
    <xf numFmtId="0" fontId="2" fillId="0" borderId="0"/>
    <xf numFmtId="0" fontId="92" fillId="0" borderId="0"/>
    <xf numFmtId="0" fontId="92" fillId="0" borderId="0"/>
    <xf numFmtId="0" fontId="92" fillId="0" borderId="0"/>
    <xf numFmtId="0" fontId="1" fillId="0" borderId="0"/>
    <xf numFmtId="0" fontId="137" fillId="0" borderId="0"/>
    <xf numFmtId="0" fontId="2" fillId="0" borderId="0"/>
    <xf numFmtId="0" fontId="92" fillId="0" borderId="0"/>
    <xf numFmtId="0" fontId="92" fillId="0" borderId="0"/>
    <xf numFmtId="0" fontId="115" fillId="0" borderId="0"/>
    <xf numFmtId="43" fontId="1" fillId="0" borderId="0" applyFont="0" applyFill="0" applyBorder="0" applyAlignment="0" applyProtection="0"/>
    <xf numFmtId="0" fontId="137" fillId="0" borderId="0"/>
    <xf numFmtId="0" fontId="194" fillId="0" borderId="0"/>
  </cellStyleXfs>
  <cellXfs count="2891">
    <xf numFmtId="0" fontId="0" fillId="0" borderId="0" xfId="0"/>
    <xf numFmtId="0" fontId="4" fillId="0" borderId="0" xfId="0" applyFont="1" applyBorder="1"/>
    <xf numFmtId="3" fontId="4" fillId="0" borderId="15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/>
    <xf numFmtId="3" fontId="3" fillId="0" borderId="0" xfId="0" applyNumberFormat="1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 applyBorder="1" applyProtection="1">
      <protection locked="0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3" fillId="0" borderId="16" xfId="0" applyFont="1" applyBorder="1" applyProtection="1"/>
    <xf numFmtId="0" fontId="4" fillId="0" borderId="0" xfId="0" applyFont="1" applyAlignment="1">
      <alignment horizontal="right"/>
    </xf>
    <xf numFmtId="0" fontId="3" fillId="0" borderId="17" xfId="0" applyFont="1" applyBorder="1"/>
    <xf numFmtId="0" fontId="4" fillId="0" borderId="18" xfId="0" applyFont="1" applyFill="1" applyBorder="1"/>
    <xf numFmtId="3" fontId="6" fillId="0" borderId="0" xfId="0" applyNumberFormat="1" applyFont="1" applyFill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17" xfId="0" applyFont="1" applyFill="1" applyBorder="1"/>
    <xf numFmtId="0" fontId="3" fillId="0" borderId="20" xfId="0" applyFont="1" applyFill="1" applyBorder="1"/>
    <xf numFmtId="3" fontId="3" fillId="0" borderId="21" xfId="0" applyNumberFormat="1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8" xfId="0" applyFont="1" applyFill="1" applyBorder="1" applyAlignment="1" applyProtection="1">
      <alignment horizontal="right"/>
    </xf>
    <xf numFmtId="0" fontId="3" fillId="0" borderId="22" xfId="0" applyFont="1" applyFill="1" applyBorder="1" applyAlignment="1" applyProtection="1">
      <alignment horizontal="centerContinuous"/>
    </xf>
    <xf numFmtId="0" fontId="5" fillId="0" borderId="17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/>
    <xf numFmtId="0" fontId="5" fillId="0" borderId="22" xfId="0" applyFont="1" applyFill="1" applyBorder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5" fillId="0" borderId="20" xfId="0" applyFont="1" applyBorder="1" applyAlignment="1" applyProtection="1">
      <alignment horizontal="left"/>
    </xf>
    <xf numFmtId="3" fontId="3" fillId="0" borderId="23" xfId="0" applyNumberFormat="1" applyFont="1" applyFill="1" applyBorder="1" applyAlignment="1" applyProtection="1">
      <alignment horizontal="centerContinuous"/>
    </xf>
    <xf numFmtId="0" fontId="4" fillId="0" borderId="0" xfId="78" applyFont="1"/>
    <xf numFmtId="0" fontId="4" fillId="0" borderId="0" xfId="78" applyFont="1" applyFill="1"/>
    <xf numFmtId="0" fontId="4" fillId="0" borderId="0" xfId="78" applyFont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4" fillId="0" borderId="29" xfId="0" applyNumberFormat="1" applyFont="1" applyFill="1" applyBorder="1"/>
    <xf numFmtId="3" fontId="6" fillId="0" borderId="0" xfId="0" applyNumberFormat="1" applyFont="1" applyBorder="1"/>
    <xf numFmtId="3" fontId="4" fillId="0" borderId="29" xfId="0" applyNumberFormat="1" applyFont="1" applyBorder="1"/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18" xfId="0" applyNumberFormat="1" applyFont="1" applyFill="1" applyBorder="1" applyAlignment="1" applyProtection="1">
      <alignment horizontal="centerContinuous"/>
    </xf>
    <xf numFmtId="3" fontId="3" fillId="0" borderId="33" xfId="0" applyNumberFormat="1" applyFont="1" applyFill="1" applyBorder="1"/>
    <xf numFmtId="3" fontId="4" fillId="0" borderId="34" xfId="0" applyNumberFormat="1" applyFont="1" applyFill="1" applyBorder="1"/>
    <xf numFmtId="3" fontId="4" fillId="0" borderId="36" xfId="0" applyNumberFormat="1" applyFont="1" applyBorder="1"/>
    <xf numFmtId="0" fontId="4" fillId="0" borderId="37" xfId="0" applyFont="1" applyFill="1" applyBorder="1"/>
    <xf numFmtId="0" fontId="4" fillId="0" borderId="38" xfId="0" applyFont="1" applyFill="1" applyBorder="1" applyAlignment="1">
      <alignment horizontal="right"/>
    </xf>
    <xf numFmtId="0" fontId="4" fillId="0" borderId="39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3" fillId="0" borderId="43" xfId="0" applyFont="1" applyBorder="1" applyAlignment="1">
      <alignment horizontal="center"/>
    </xf>
    <xf numFmtId="3" fontId="3" fillId="0" borderId="44" xfId="0" applyNumberFormat="1" applyFont="1" applyFill="1" applyBorder="1"/>
    <xf numFmtId="0" fontId="4" fillId="0" borderId="45" xfId="0" applyFont="1" applyFill="1" applyBorder="1"/>
    <xf numFmtId="3" fontId="3" fillId="0" borderId="44" xfId="0" applyNumberFormat="1" applyFont="1" applyBorder="1"/>
    <xf numFmtId="3" fontId="3" fillId="0" borderId="33" xfId="0" applyNumberFormat="1" applyFont="1" applyBorder="1"/>
    <xf numFmtId="0" fontId="4" fillId="0" borderId="23" xfId="0" applyFont="1" applyFill="1" applyBorder="1" applyProtection="1"/>
    <xf numFmtId="0" fontId="4" fillId="0" borderId="46" xfId="0" applyFont="1" applyFill="1" applyBorder="1" applyProtection="1"/>
    <xf numFmtId="2" fontId="4" fillId="0" borderId="47" xfId="0" applyNumberFormat="1" applyFont="1" applyFill="1" applyBorder="1"/>
    <xf numFmtId="3" fontId="4" fillId="0" borderId="34" xfId="0" applyNumberFormat="1" applyFont="1" applyFill="1" applyBorder="1" applyProtection="1">
      <protection locked="0"/>
    </xf>
    <xf numFmtId="3" fontId="3" fillId="0" borderId="48" xfId="0" applyNumberFormat="1" applyFont="1" applyBorder="1" applyProtection="1"/>
    <xf numFmtId="3" fontId="4" fillId="0" borderId="15" xfId="78" applyNumberFormat="1" applyFont="1" applyFill="1" applyBorder="1" applyAlignment="1">
      <alignment horizontal="center"/>
    </xf>
    <xf numFmtId="3" fontId="4" fillId="0" borderId="15" xfId="78" applyNumberFormat="1" applyFont="1" applyFill="1" applyBorder="1" applyAlignment="1">
      <alignment horizontal="right"/>
    </xf>
    <xf numFmtId="3" fontId="4" fillId="0" borderId="0" xfId="78" applyNumberFormat="1" applyFont="1" applyFill="1" applyBorder="1"/>
    <xf numFmtId="2" fontId="3" fillId="0" borderId="60" xfId="0" applyNumberFormat="1" applyFont="1" applyBorder="1"/>
    <xf numFmtId="0" fontId="3" fillId="28" borderId="45" xfId="0" applyFont="1" applyFill="1" applyBorder="1" applyAlignment="1">
      <alignment horizontal="center"/>
    </xf>
    <xf numFmtId="0" fontId="3" fillId="28" borderId="61" xfId="0" applyFont="1" applyFill="1" applyBorder="1" applyAlignment="1">
      <alignment horizontal="center"/>
    </xf>
    <xf numFmtId="3" fontId="4" fillId="0" borderId="45" xfId="0" applyNumberFormat="1" applyFont="1" applyBorder="1"/>
    <xf numFmtId="0" fontId="4" fillId="0" borderId="62" xfId="0" applyFont="1" applyFill="1" applyBorder="1"/>
    <xf numFmtId="3" fontId="4" fillId="0" borderId="51" xfId="0" applyNumberFormat="1" applyFont="1" applyBorder="1"/>
    <xf numFmtId="3" fontId="4" fillId="0" borderId="36" xfId="0" applyNumberFormat="1" applyFont="1" applyFill="1" applyBorder="1"/>
    <xf numFmtId="3" fontId="4" fillId="0" borderId="15" xfId="0" applyNumberFormat="1" applyFont="1" applyFill="1" applyBorder="1"/>
    <xf numFmtId="3" fontId="3" fillId="0" borderId="21" xfId="0" applyNumberFormat="1" applyFont="1" applyBorder="1"/>
    <xf numFmtId="3" fontId="4" fillId="0" borderId="51" xfId="0" applyNumberFormat="1" applyFont="1" applyFill="1" applyBorder="1"/>
    <xf numFmtId="3" fontId="4" fillId="0" borderId="52" xfId="0" applyNumberFormat="1" applyFont="1" applyFill="1" applyBorder="1"/>
    <xf numFmtId="3" fontId="4" fillId="0" borderId="52" xfId="0" applyNumberFormat="1" applyFont="1" applyBorder="1"/>
    <xf numFmtId="3" fontId="3" fillId="0" borderId="15" xfId="0" applyNumberFormat="1" applyFont="1" applyBorder="1"/>
    <xf numFmtId="3" fontId="4" fillId="0" borderId="65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3" fontId="3" fillId="0" borderId="4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0" xfId="78" applyNumberFormat="1" applyFont="1"/>
    <xf numFmtId="2" fontId="4" fillId="0" borderId="67" xfId="0" applyNumberFormat="1" applyFont="1" applyBorder="1"/>
    <xf numFmtId="2" fontId="4" fillId="0" borderId="59" xfId="0" applyNumberFormat="1" applyFont="1" applyFill="1" applyBorder="1"/>
    <xf numFmtId="2" fontId="3" fillId="0" borderId="54" xfId="0" applyNumberFormat="1" applyFont="1" applyFill="1" applyBorder="1"/>
    <xf numFmtId="2" fontId="4" fillId="0" borderId="68" xfId="0" applyNumberFormat="1" applyFont="1" applyFill="1" applyBorder="1"/>
    <xf numFmtId="0" fontId="4" fillId="0" borderId="27" xfId="0" applyFont="1" applyFill="1" applyBorder="1"/>
    <xf numFmtId="2" fontId="4" fillId="0" borderId="67" xfId="0" applyNumberFormat="1" applyFont="1" applyFill="1" applyBorder="1"/>
    <xf numFmtId="0" fontId="3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3" fillId="0" borderId="0" xfId="0" applyNumberFormat="1" applyFont="1" applyBorder="1"/>
    <xf numFmtId="4" fontId="3" fillId="0" borderId="54" xfId="0" applyNumberFormat="1" applyFont="1" applyBorder="1"/>
    <xf numFmtId="4" fontId="3" fillId="0" borderId="60" xfId="0" applyNumberFormat="1" applyFont="1" applyBorder="1"/>
    <xf numFmtId="3" fontId="6" fillId="0" borderId="0" xfId="0" applyNumberFormat="1" applyFont="1"/>
    <xf numFmtId="3" fontId="13" fillId="0" borderId="0" xfId="78" applyNumberFormat="1" applyFont="1" applyFill="1"/>
    <xf numFmtId="0" fontId="4" fillId="0" borderId="0" xfId="0" applyFont="1" applyFill="1" applyBorder="1" applyAlignment="1" applyProtection="1">
      <alignment horizontal="left"/>
    </xf>
    <xf numFmtId="3" fontId="4" fillId="0" borderId="46" xfId="0" applyNumberFormat="1" applyFont="1" applyBorder="1"/>
    <xf numFmtId="0" fontId="21" fillId="0" borderId="0" xfId="0" applyFont="1" applyFill="1"/>
    <xf numFmtId="0" fontId="4" fillId="0" borderId="38" xfId="0" applyFont="1" applyFill="1" applyBorder="1"/>
    <xf numFmtId="0" fontId="3" fillId="0" borderId="18" xfId="78" applyFont="1" applyFill="1" applyBorder="1"/>
    <xf numFmtId="0" fontId="4" fillId="0" borderId="18" xfId="78" applyFont="1" applyFill="1" applyBorder="1" applyAlignment="1">
      <alignment horizontal="right"/>
    </xf>
    <xf numFmtId="0" fontId="3" fillId="28" borderId="70" xfId="0" applyFont="1" applyFill="1" applyBorder="1" applyAlignment="1">
      <alignment horizontal="center"/>
    </xf>
    <xf numFmtId="3" fontId="4" fillId="0" borderId="74" xfId="0" applyNumberFormat="1" applyFont="1" applyFill="1" applyBorder="1"/>
    <xf numFmtId="3" fontId="3" fillId="0" borderId="77" xfId="0" applyNumberFormat="1" applyFont="1" applyFill="1" applyBorder="1"/>
    <xf numFmtId="3" fontId="4" fillId="0" borderId="0" xfId="0" applyNumberFormat="1" applyFont="1" applyFill="1" applyBorder="1"/>
    <xf numFmtId="3" fontId="3" fillId="0" borderId="79" xfId="78" applyNumberFormat="1" applyFont="1" applyFill="1" applyBorder="1"/>
    <xf numFmtId="3" fontId="3" fillId="0" borderId="0" xfId="0" applyNumberFormat="1" applyFont="1" applyAlignment="1">
      <alignment horizontal="center"/>
    </xf>
    <xf numFmtId="0" fontId="4" fillId="0" borderId="37" xfId="78" applyFont="1" applyFill="1" applyBorder="1" applyAlignment="1">
      <alignment horizontal="justify"/>
    </xf>
    <xf numFmtId="3" fontId="3" fillId="0" borderId="61" xfId="0" applyNumberFormat="1" applyFont="1" applyBorder="1"/>
    <xf numFmtId="3" fontId="3" fillId="0" borderId="43" xfId="0" applyNumberFormat="1" applyFont="1" applyBorder="1"/>
    <xf numFmtId="0" fontId="4" fillId="0" borderId="18" xfId="0" applyFont="1" applyFill="1" applyBorder="1" applyAlignment="1">
      <alignment horizontal="justify"/>
    </xf>
    <xf numFmtId="3" fontId="3" fillId="0" borderId="25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4" fillId="0" borderId="45" xfId="0" applyNumberFormat="1" applyFont="1" applyFill="1" applyBorder="1"/>
    <xf numFmtId="0" fontId="3" fillId="0" borderId="55" xfId="0" applyFont="1" applyBorder="1" applyAlignment="1">
      <alignment horizontal="center"/>
    </xf>
    <xf numFmtId="3" fontId="3" fillId="0" borderId="82" xfId="0" applyNumberFormat="1" applyFont="1" applyFill="1" applyBorder="1"/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3" fillId="0" borderId="17" xfId="0" applyNumberFormat="1" applyFont="1" applyBorder="1"/>
    <xf numFmtId="0" fontId="5" fillId="0" borderId="18" xfId="0" applyFont="1" applyFill="1" applyBorder="1"/>
    <xf numFmtId="0" fontId="5" fillId="0" borderId="20" xfId="0" applyFont="1" applyFill="1" applyBorder="1"/>
    <xf numFmtId="0" fontId="5" fillId="0" borderId="20" xfId="0" applyFont="1" applyFill="1" applyBorder="1" applyAlignment="1">
      <alignment horizontal="justify"/>
    </xf>
    <xf numFmtId="3" fontId="3" fillId="0" borderId="19" xfId="0" applyNumberFormat="1" applyFont="1" applyBorder="1"/>
    <xf numFmtId="4" fontId="3" fillId="0" borderId="59" xfId="0" applyNumberFormat="1" applyFont="1" applyBorder="1"/>
    <xf numFmtId="3" fontId="4" fillId="0" borderId="76" xfId="0" applyNumberFormat="1" applyFont="1" applyFill="1" applyBorder="1"/>
    <xf numFmtId="3" fontId="4" fillId="0" borderId="18" xfId="78" applyNumberFormat="1" applyFont="1" applyFill="1" applyBorder="1"/>
    <xf numFmtId="3" fontId="4" fillId="0" borderId="87" xfId="0" applyNumberFormat="1" applyFont="1" applyFill="1" applyBorder="1"/>
    <xf numFmtId="0" fontId="4" fillId="0" borderId="40" xfId="0" applyFont="1" applyFill="1" applyBorder="1" applyAlignment="1">
      <alignment horizontal="justify"/>
    </xf>
    <xf numFmtId="3" fontId="4" fillId="0" borderId="74" xfId="78" applyNumberFormat="1" applyFont="1" applyFill="1" applyBorder="1"/>
    <xf numFmtId="0" fontId="3" fillId="28" borderId="0" xfId="0" applyFont="1" applyFill="1" applyBorder="1" applyAlignment="1">
      <alignment horizontal="center"/>
    </xf>
    <xf numFmtId="0" fontId="4" fillId="0" borderId="0" xfId="78" applyFont="1" applyFill="1" applyBorder="1"/>
    <xf numFmtId="0" fontId="4" fillId="0" borderId="16" xfId="78" applyFont="1" applyFill="1" applyBorder="1" applyAlignment="1">
      <alignment horizontal="justify"/>
    </xf>
    <xf numFmtId="3" fontId="4" fillId="0" borderId="69" xfId="0" applyNumberFormat="1" applyFont="1" applyFill="1" applyBorder="1"/>
    <xf numFmtId="3" fontId="40" fillId="0" borderId="0" xfId="0" applyNumberFormat="1" applyFont="1" applyFill="1" applyBorder="1" applyAlignment="1">
      <alignment horizontal="right"/>
    </xf>
    <xf numFmtId="3" fontId="21" fillId="0" borderId="43" xfId="0" applyNumberFormat="1" applyFont="1" applyFill="1" applyBorder="1"/>
    <xf numFmtId="0" fontId="4" fillId="0" borderId="37" xfId="0" applyFont="1" applyFill="1" applyBorder="1" applyAlignment="1">
      <alignment wrapText="1"/>
    </xf>
    <xf numFmtId="3" fontId="3" fillId="0" borderId="77" xfId="78" applyNumberFormat="1" applyFont="1" applyFill="1" applyBorder="1"/>
    <xf numFmtId="3" fontId="3" fillId="0" borderId="48" xfId="0" applyNumberFormat="1" applyFont="1" applyFill="1" applyBorder="1"/>
    <xf numFmtId="2" fontId="3" fillId="0" borderId="60" xfId="0" applyNumberFormat="1" applyFont="1" applyFill="1" applyBorder="1"/>
    <xf numFmtId="3" fontId="3" fillId="0" borderId="78" xfId="0" applyNumberFormat="1" applyFont="1" applyFill="1" applyBorder="1"/>
    <xf numFmtId="2" fontId="21" fillId="0" borderId="60" xfId="0" applyNumberFormat="1" applyFont="1" applyBorder="1"/>
    <xf numFmtId="3" fontId="4" fillId="0" borderId="89" xfId="0" applyNumberFormat="1" applyFont="1" applyFill="1" applyBorder="1"/>
    <xf numFmtId="0" fontId="4" fillId="27" borderId="0" xfId="0" applyFont="1" applyFill="1"/>
    <xf numFmtId="0" fontId="41" fillId="0" borderId="69" xfId="0" applyFont="1" applyFill="1" applyBorder="1" applyAlignment="1">
      <alignment horizontal="center"/>
    </xf>
    <xf numFmtId="3" fontId="15" fillId="0" borderId="69" xfId="0" applyNumberFormat="1" applyFont="1" applyFill="1" applyBorder="1" applyAlignment="1">
      <alignment horizontal="center"/>
    </xf>
    <xf numFmtId="0" fontId="42" fillId="0" borderId="69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center"/>
    </xf>
    <xf numFmtId="0" fontId="4" fillId="0" borderId="69" xfId="0" applyFont="1" applyFill="1" applyBorder="1"/>
    <xf numFmtId="0" fontId="21" fillId="0" borderId="78" xfId="0" applyFont="1" applyFill="1" applyBorder="1"/>
    <xf numFmtId="3" fontId="21" fillId="0" borderId="78" xfId="0" applyNumberFormat="1" applyFont="1" applyFill="1" applyBorder="1"/>
    <xf numFmtId="0" fontId="15" fillId="0" borderId="78" xfId="0" applyFont="1" applyBorder="1" applyAlignment="1">
      <alignment horizontal="justify"/>
    </xf>
    <xf numFmtId="0" fontId="4" fillId="0" borderId="76" xfId="0" applyFont="1" applyFill="1" applyBorder="1" applyAlignment="1">
      <alignment horizontal="justify"/>
    </xf>
    <xf numFmtId="3" fontId="21" fillId="0" borderId="70" xfId="0" applyNumberFormat="1" applyFont="1" applyFill="1" applyBorder="1"/>
    <xf numFmtId="0" fontId="5" fillId="0" borderId="69" xfId="0" applyFont="1" applyFill="1" applyBorder="1"/>
    <xf numFmtId="0" fontId="18" fillId="0" borderId="91" xfId="0" applyFont="1" applyFill="1" applyBorder="1" applyAlignment="1">
      <alignment horizontal="center"/>
    </xf>
    <xf numFmtId="3" fontId="3" fillId="0" borderId="91" xfId="0" applyNumberFormat="1" applyFont="1" applyFill="1" applyBorder="1"/>
    <xf numFmtId="3" fontId="3" fillId="0" borderId="69" xfId="0" applyNumberFormat="1" applyFont="1" applyFill="1" applyBorder="1"/>
    <xf numFmtId="0" fontId="42" fillId="0" borderId="91" xfId="0" applyFont="1" applyFill="1" applyBorder="1" applyAlignment="1">
      <alignment horizontal="left"/>
    </xf>
    <xf numFmtId="3" fontId="4" fillId="0" borderId="76" xfId="0" applyNumberFormat="1" applyFont="1" applyFill="1" applyBorder="1" applyAlignment="1">
      <alignment horizontal="justify"/>
    </xf>
    <xf numFmtId="4" fontId="3" fillId="0" borderId="69" xfId="0" applyNumberFormat="1" applyFont="1" applyFill="1" applyBorder="1" applyAlignment="1">
      <alignment horizontal="center"/>
    </xf>
    <xf numFmtId="4" fontId="21" fillId="0" borderId="78" xfId="0" applyNumberFormat="1" applyFont="1" applyFill="1" applyBorder="1"/>
    <xf numFmtId="4" fontId="4" fillId="0" borderId="76" xfId="0" applyNumberFormat="1" applyFont="1" applyFill="1" applyBorder="1"/>
    <xf numFmtId="4" fontId="3" fillId="0" borderId="91" xfId="0" applyNumberFormat="1" applyFont="1" applyFill="1" applyBorder="1"/>
    <xf numFmtId="4" fontId="3" fillId="0" borderId="69" xfId="0" applyNumberFormat="1" applyFont="1" applyFill="1" applyBorder="1"/>
    <xf numFmtId="3" fontId="21" fillId="0" borderId="48" xfId="0" applyNumberFormat="1" applyFont="1" applyBorder="1"/>
    <xf numFmtId="3" fontId="4" fillId="0" borderId="37" xfId="0" applyNumberFormat="1" applyFont="1" applyFill="1" applyBorder="1"/>
    <xf numFmtId="2" fontId="3" fillId="0" borderId="28" xfId="0" applyNumberFormat="1" applyFont="1" applyFill="1" applyBorder="1"/>
    <xf numFmtId="0" fontId="21" fillId="0" borderId="18" xfId="0" applyFont="1" applyFill="1" applyBorder="1"/>
    <xf numFmtId="0" fontId="39" fillId="0" borderId="0" xfId="0" applyFont="1"/>
    <xf numFmtId="3" fontId="21" fillId="0" borderId="0" xfId="0" applyNumberFormat="1" applyFont="1" applyFill="1"/>
    <xf numFmtId="0" fontId="18" fillId="0" borderId="69" xfId="0" applyFont="1" applyFill="1" applyBorder="1" applyAlignment="1">
      <alignment horizontal="center"/>
    </xf>
    <xf numFmtId="0" fontId="42" fillId="0" borderId="0" xfId="0" applyFont="1" applyFill="1" applyBorder="1"/>
    <xf numFmtId="0" fontId="4" fillId="0" borderId="50" xfId="0" applyFont="1" applyFill="1" applyBorder="1" applyAlignment="1" applyProtection="1">
      <alignment horizontal="left"/>
    </xf>
    <xf numFmtId="0" fontId="4" fillId="0" borderId="37" xfId="0" applyFont="1" applyFill="1" applyBorder="1" applyAlignment="1" applyProtection="1">
      <alignment horizontal="left"/>
    </xf>
    <xf numFmtId="0" fontId="42" fillId="0" borderId="0" xfId="0" applyFont="1" applyFill="1"/>
    <xf numFmtId="0" fontId="4" fillId="0" borderId="37" xfId="78" applyFont="1" applyFill="1" applyBorder="1" applyAlignment="1">
      <alignment horizontal="left"/>
    </xf>
    <xf numFmtId="0" fontId="11" fillId="0" borderId="0" xfId="78" applyFont="1" applyFill="1"/>
    <xf numFmtId="3" fontId="4" fillId="0" borderId="0" xfId="78" applyNumberFormat="1" applyFont="1" applyFill="1" applyAlignment="1">
      <alignment horizontal="right"/>
    </xf>
    <xf numFmtId="0" fontId="4" fillId="0" borderId="23" xfId="78" applyFont="1" applyFill="1" applyBorder="1"/>
    <xf numFmtId="0" fontId="3" fillId="0" borderId="46" xfId="78" applyFont="1" applyFill="1" applyBorder="1" applyAlignment="1">
      <alignment horizontal="center"/>
    </xf>
    <xf numFmtId="0" fontId="4" fillId="0" borderId="19" xfId="78" applyFont="1" applyFill="1" applyBorder="1"/>
    <xf numFmtId="0" fontId="4" fillId="0" borderId="16" xfId="78" applyFont="1" applyFill="1" applyBorder="1" applyAlignment="1">
      <alignment horizontal="center"/>
    </xf>
    <xf numFmtId="0" fontId="21" fillId="0" borderId="18" xfId="78" applyFont="1" applyFill="1" applyBorder="1"/>
    <xf numFmtId="0" fontId="4" fillId="0" borderId="0" xfId="78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3" fontId="8" fillId="0" borderId="74" xfId="78" applyNumberFormat="1" applyFont="1" applyFill="1" applyBorder="1"/>
    <xf numFmtId="0" fontId="21" fillId="0" borderId="20" xfId="78" applyFont="1" applyFill="1" applyBorder="1"/>
    <xf numFmtId="0" fontId="4" fillId="0" borderId="96" xfId="78" applyFont="1" applyFill="1" applyBorder="1" applyAlignment="1">
      <alignment horizontal="center"/>
    </xf>
    <xf numFmtId="3" fontId="15" fillId="0" borderId="78" xfId="0" applyNumberFormat="1" applyFont="1" applyFill="1" applyBorder="1" applyAlignment="1">
      <alignment horizontal="right"/>
    </xf>
    <xf numFmtId="3" fontId="39" fillId="0" borderId="74" xfId="0" applyNumberFormat="1" applyFont="1" applyFill="1" applyBorder="1" applyAlignment="1">
      <alignment horizontal="right"/>
    </xf>
    <xf numFmtId="3" fontId="4" fillId="0" borderId="0" xfId="78" applyNumberFormat="1" applyFont="1" applyFill="1"/>
    <xf numFmtId="3" fontId="4" fillId="0" borderId="74" xfId="78" applyNumberFormat="1" applyFont="1" applyFill="1" applyBorder="1" applyAlignment="1">
      <alignment horizontal="right"/>
    </xf>
    <xf numFmtId="3" fontId="4" fillId="0" borderId="69" xfId="78" applyNumberFormat="1" applyFont="1" applyFill="1" applyBorder="1" applyAlignment="1">
      <alignment horizontal="right"/>
    </xf>
    <xf numFmtId="0" fontId="3" fillId="0" borderId="18" xfId="78" applyFont="1" applyFill="1" applyBorder="1" applyAlignment="1">
      <alignment horizontal="left"/>
    </xf>
    <xf numFmtId="0" fontId="3" fillId="0" borderId="0" xfId="78" applyFont="1" applyFill="1" applyBorder="1" applyAlignment="1">
      <alignment horizontal="center"/>
    </xf>
    <xf numFmtId="3" fontId="3" fillId="0" borderId="69" xfId="78" applyNumberFormat="1" applyFont="1" applyFill="1" applyBorder="1"/>
    <xf numFmtId="0" fontId="8" fillId="0" borderId="37" xfId="78" applyFont="1" applyFill="1" applyBorder="1" applyAlignment="1">
      <alignment horizontal="left"/>
    </xf>
    <xf numFmtId="0" fontId="6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8" fillId="0" borderId="20" xfId="0" applyFont="1" applyFill="1" applyBorder="1"/>
    <xf numFmtId="3" fontId="18" fillId="0" borderId="60" xfId="0" applyNumberFormat="1" applyFont="1" applyFill="1" applyBorder="1"/>
    <xf numFmtId="3" fontId="4" fillId="29" borderId="74" xfId="0" applyNumberFormat="1" applyFont="1" applyFill="1" applyBorder="1"/>
    <xf numFmtId="0" fontId="15" fillId="0" borderId="84" xfId="0" applyFont="1" applyBorder="1" applyAlignment="1">
      <alignment horizontal="justify"/>
    </xf>
    <xf numFmtId="3" fontId="21" fillId="0" borderId="84" xfId="0" applyNumberFormat="1" applyFont="1" applyFill="1" applyBorder="1"/>
    <xf numFmtId="3" fontId="4" fillId="29" borderId="69" xfId="0" applyNumberFormat="1" applyFont="1" applyFill="1" applyBorder="1"/>
    <xf numFmtId="0" fontId="3" fillId="0" borderId="78" xfId="0" applyFont="1" applyFill="1" applyBorder="1" applyAlignment="1">
      <alignment horizontal="left"/>
    </xf>
    <xf numFmtId="0" fontId="3" fillId="0" borderId="77" xfId="0" applyFont="1" applyFill="1" applyBorder="1"/>
    <xf numFmtId="3" fontId="7" fillId="0" borderId="76" xfId="79" applyNumberFormat="1" applyFont="1" applyFill="1" applyBorder="1" applyAlignment="1">
      <alignment horizontal="right" vertical="top" wrapText="1"/>
    </xf>
    <xf numFmtId="4" fontId="7" fillId="0" borderId="76" xfId="79" applyNumberFormat="1" applyFont="1" applyFill="1" applyBorder="1" applyAlignment="1">
      <alignment horizontal="right" vertical="top" wrapText="1"/>
    </xf>
    <xf numFmtId="3" fontId="39" fillId="0" borderId="69" xfId="79" applyNumberFormat="1" applyFont="1" applyFill="1" applyBorder="1" applyAlignment="1">
      <alignment horizontal="justify" vertical="top" wrapText="1"/>
    </xf>
    <xf numFmtId="0" fontId="3" fillId="0" borderId="78" xfId="0" applyFont="1" applyFill="1" applyBorder="1"/>
    <xf numFmtId="3" fontId="7" fillId="0" borderId="76" xfId="79" applyNumberFormat="1" applyFont="1" applyFill="1" applyBorder="1" applyAlignment="1">
      <alignment wrapText="1"/>
    </xf>
    <xf numFmtId="3" fontId="7" fillId="0" borderId="76" xfId="79" applyNumberFormat="1" applyFont="1" applyFill="1" applyBorder="1" applyAlignment="1">
      <alignment horizontal="right" wrapText="1"/>
    </xf>
    <xf numFmtId="3" fontId="3" fillId="0" borderId="77" xfId="0" applyNumberFormat="1" applyFont="1" applyFill="1" applyBorder="1" applyAlignment="1">
      <alignment horizontal="right"/>
    </xf>
    <xf numFmtId="4" fontId="21" fillId="0" borderId="77" xfId="0" applyNumberFormat="1" applyFont="1" applyFill="1" applyBorder="1"/>
    <xf numFmtId="0" fontId="3" fillId="0" borderId="18" xfId="0" applyFont="1" applyFill="1" applyBorder="1"/>
    <xf numFmtId="0" fontId="3" fillId="0" borderId="97" xfId="0" applyFont="1" applyFill="1" applyBorder="1" applyAlignment="1">
      <alignment horizontal="center"/>
    </xf>
    <xf numFmtId="0" fontId="3" fillId="28" borderId="84" xfId="0" applyFont="1" applyFill="1" applyBorder="1" applyAlignment="1">
      <alignment horizontal="center"/>
    </xf>
    <xf numFmtId="3" fontId="4" fillId="29" borderId="36" xfId="0" applyNumberFormat="1" applyFont="1" applyFill="1" applyBorder="1"/>
    <xf numFmtId="3" fontId="4" fillId="29" borderId="15" xfId="0" applyNumberFormat="1" applyFont="1" applyFill="1" applyBorder="1"/>
    <xf numFmtId="3" fontId="4" fillId="29" borderId="18" xfId="0" applyNumberFormat="1" applyFont="1" applyFill="1" applyBorder="1" applyAlignment="1">
      <alignment wrapText="1"/>
    </xf>
    <xf numFmtId="3" fontId="3" fillId="0" borderId="97" xfId="0" applyNumberFormat="1" applyFont="1" applyBorder="1" applyAlignment="1">
      <alignment horizontal="center"/>
    </xf>
    <xf numFmtId="3" fontId="42" fillId="0" borderId="16" xfId="0" applyNumberFormat="1" applyFont="1" applyBorder="1" applyAlignment="1">
      <alignment horizontal="left"/>
    </xf>
    <xf numFmtId="0" fontId="3" fillId="0" borderId="96" xfId="0" applyFont="1" applyFill="1" applyBorder="1"/>
    <xf numFmtId="3" fontId="3" fillId="0" borderId="48" xfId="0" applyNumberFormat="1" applyFont="1" applyBorder="1"/>
    <xf numFmtId="3" fontId="4" fillId="29" borderId="40" xfId="0" applyNumberFormat="1" applyFont="1" applyFill="1" applyBorder="1" applyAlignment="1">
      <alignment wrapText="1"/>
    </xf>
    <xf numFmtId="3" fontId="18" fillId="0" borderId="78" xfId="0" applyNumberFormat="1" applyFont="1" applyFill="1" applyBorder="1"/>
    <xf numFmtId="3" fontId="4" fillId="29" borderId="34" xfId="0" applyNumberFormat="1" applyFont="1" applyFill="1" applyBorder="1"/>
    <xf numFmtId="2" fontId="4" fillId="29" borderId="68" xfId="0" applyNumberFormat="1" applyFont="1" applyFill="1" applyBorder="1"/>
    <xf numFmtId="0" fontId="4" fillId="29" borderId="98" xfId="0" applyFont="1" applyFill="1" applyBorder="1" applyProtection="1"/>
    <xf numFmtId="3" fontId="4" fillId="29" borderId="35" xfId="0" applyNumberFormat="1" applyFont="1" applyFill="1" applyBorder="1"/>
    <xf numFmtId="3" fontId="4" fillId="29" borderId="64" xfId="0" applyNumberFormat="1" applyFont="1" applyFill="1" applyBorder="1" applyAlignment="1"/>
    <xf numFmtId="2" fontId="4" fillId="29" borderId="67" xfId="0" applyNumberFormat="1" applyFont="1" applyFill="1" applyBorder="1"/>
    <xf numFmtId="3" fontId="4" fillId="29" borderId="65" xfId="0" applyNumberFormat="1" applyFont="1" applyFill="1" applyBorder="1" applyProtection="1">
      <protection locked="0"/>
    </xf>
    <xf numFmtId="3" fontId="4" fillId="29" borderId="52" xfId="0" applyNumberFormat="1" applyFont="1" applyFill="1" applyBorder="1"/>
    <xf numFmtId="0" fontId="4" fillId="29" borderId="40" xfId="0" applyFont="1" applyFill="1" applyBorder="1"/>
    <xf numFmtId="3" fontId="4" fillId="29" borderId="34" xfId="0" applyNumberFormat="1" applyFont="1" applyFill="1" applyBorder="1" applyProtection="1">
      <protection locked="0"/>
    </xf>
    <xf numFmtId="0" fontId="4" fillId="29" borderId="99" xfId="0" applyFont="1" applyFill="1" applyBorder="1" applyAlignment="1" applyProtection="1">
      <alignment horizontal="left"/>
    </xf>
    <xf numFmtId="0" fontId="4" fillId="29" borderId="42" xfId="0" applyFont="1" applyFill="1" applyBorder="1" applyAlignment="1" applyProtection="1">
      <alignment horizontal="left"/>
    </xf>
    <xf numFmtId="0" fontId="4" fillId="29" borderId="42" xfId="0" applyFont="1" applyFill="1" applyBorder="1" applyAlignment="1" applyProtection="1">
      <alignment horizontal="left" wrapText="1"/>
    </xf>
    <xf numFmtId="0" fontId="4" fillId="29" borderId="100" xfId="0" applyFont="1" applyFill="1" applyBorder="1" applyAlignment="1"/>
    <xf numFmtId="0" fontId="3" fillId="0" borderId="77" xfId="0" applyFont="1" applyBorder="1" applyAlignment="1">
      <alignment horizontal="center"/>
    </xf>
    <xf numFmtId="0" fontId="3" fillId="28" borderId="16" xfId="0" applyFont="1" applyFill="1" applyBorder="1" applyAlignment="1">
      <alignment horizontal="center"/>
    </xf>
    <xf numFmtId="2" fontId="4" fillId="0" borderId="74" xfId="78" applyNumberFormat="1" applyFont="1" applyFill="1" applyBorder="1"/>
    <xf numFmtId="4" fontId="15" fillId="0" borderId="78" xfId="0" applyNumberFormat="1" applyFont="1" applyFill="1" applyBorder="1" applyAlignment="1">
      <alignment horizontal="right"/>
    </xf>
    <xf numFmtId="4" fontId="15" fillId="0" borderId="70" xfId="0" applyNumberFormat="1" applyFont="1" applyFill="1" applyBorder="1" applyAlignment="1">
      <alignment horizontal="right"/>
    </xf>
    <xf numFmtId="4" fontId="15" fillId="0" borderId="79" xfId="0" applyNumberFormat="1" applyFont="1" applyFill="1" applyBorder="1" applyAlignment="1">
      <alignment horizontal="right"/>
    </xf>
    <xf numFmtId="3" fontId="3" fillId="0" borderId="79" xfId="78" applyNumberFormat="1" applyFont="1" applyFill="1" applyBorder="1" applyAlignment="1">
      <alignment horizontal="right"/>
    </xf>
    <xf numFmtId="3" fontId="40" fillId="0" borderId="0" xfId="0" applyNumberFormat="1" applyFont="1" applyFill="1"/>
    <xf numFmtId="3" fontId="3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64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Border="1"/>
    <xf numFmtId="0" fontId="40" fillId="0" borderId="0" xfId="0" applyFont="1" applyFill="1" applyBorder="1"/>
    <xf numFmtId="3" fontId="18" fillId="0" borderId="16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Continuous"/>
    </xf>
    <xf numFmtId="0" fontId="40" fillId="0" borderId="0" xfId="78" applyFont="1" applyFill="1" applyBorder="1"/>
    <xf numFmtId="3" fontId="18" fillId="0" borderId="46" xfId="0" applyNumberFormat="1" applyFont="1" applyFill="1" applyBorder="1"/>
    <xf numFmtId="0" fontId="15" fillId="0" borderId="0" xfId="0" applyFont="1" applyFill="1" applyBorder="1" applyAlignment="1">
      <alignment horizontal="center"/>
    </xf>
    <xf numFmtId="3" fontId="63" fillId="0" borderId="0" xfId="0" applyNumberFormat="1" applyFont="1" applyFill="1" applyBorder="1"/>
    <xf numFmtId="3" fontId="40" fillId="0" borderId="87" xfId="0" applyNumberFormat="1" applyFont="1" applyFill="1" applyBorder="1"/>
    <xf numFmtId="3" fontId="67" fillId="0" borderId="15" xfId="0" applyNumberFormat="1" applyFont="1" applyFill="1" applyBorder="1"/>
    <xf numFmtId="3" fontId="67" fillId="0" borderId="36" xfId="0" applyNumberFormat="1" applyFont="1" applyFill="1" applyBorder="1"/>
    <xf numFmtId="3" fontId="67" fillId="0" borderId="36" xfId="0" applyNumberFormat="1" applyFont="1" applyFill="1" applyBorder="1" applyProtection="1"/>
    <xf numFmtId="3" fontId="40" fillId="0" borderId="15" xfId="0" applyNumberFormat="1" applyFont="1" applyFill="1" applyBorder="1"/>
    <xf numFmtId="0" fontId="15" fillId="0" borderId="87" xfId="0" applyFont="1" applyFill="1" applyBorder="1" applyAlignment="1">
      <alignment horizontal="center"/>
    </xf>
    <xf numFmtId="3" fontId="63" fillId="0" borderId="87" xfId="0" applyNumberFormat="1" applyFont="1" applyFill="1" applyBorder="1"/>
    <xf numFmtId="3" fontId="67" fillId="0" borderId="85" xfId="0" applyNumberFormat="1" applyFont="1" applyFill="1" applyBorder="1"/>
    <xf numFmtId="3" fontId="67" fillId="0" borderId="15" xfId="0" applyNumberFormat="1" applyFont="1" applyFill="1" applyBorder="1" applyProtection="1"/>
    <xf numFmtId="0" fontId="68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3" fontId="63" fillId="0" borderId="21" xfId="0" applyNumberFormat="1" applyFont="1" applyFill="1" applyBorder="1"/>
    <xf numFmtId="3" fontId="18" fillId="0" borderId="45" xfId="0" applyNumberFormat="1" applyFont="1" applyFill="1" applyBorder="1"/>
    <xf numFmtId="3" fontId="63" fillId="0" borderId="15" xfId="0" applyNumberFormat="1" applyFont="1" applyFill="1" applyBorder="1"/>
    <xf numFmtId="3" fontId="67" fillId="0" borderId="61" xfId="0" applyNumberFormat="1" applyFont="1" applyFill="1" applyBorder="1"/>
    <xf numFmtId="3" fontId="67" fillId="0" borderId="15" xfId="0" applyNumberFormat="1" applyFont="1" applyFill="1" applyBorder="1" applyAlignment="1">
      <alignment horizontal="right"/>
    </xf>
    <xf numFmtId="3" fontId="67" fillId="0" borderId="36" xfId="0" applyNumberFormat="1" applyFont="1" applyFill="1" applyBorder="1" applyAlignment="1">
      <alignment horizontal="right"/>
    </xf>
    <xf numFmtId="3" fontId="63" fillId="0" borderId="61" xfId="0" applyNumberFormat="1" applyFont="1" applyFill="1" applyBorder="1"/>
    <xf numFmtId="3" fontId="69" fillId="0" borderId="36" xfId="0" applyNumberFormat="1" applyFont="1" applyFill="1" applyBorder="1" applyAlignment="1">
      <alignment horizontal="right"/>
    </xf>
    <xf numFmtId="3" fontId="68" fillId="0" borderId="21" xfId="0" applyNumberFormat="1" applyFont="1" applyFill="1" applyBorder="1" applyAlignment="1">
      <alignment horizontal="right"/>
    </xf>
    <xf numFmtId="3" fontId="68" fillId="0" borderId="32" xfId="0" applyNumberFormat="1" applyFont="1" applyFill="1" applyBorder="1" applyAlignment="1">
      <alignment horizontal="right"/>
    </xf>
    <xf numFmtId="3" fontId="63" fillId="0" borderId="45" xfId="0" applyNumberFormat="1" applyFont="1" applyFill="1" applyBorder="1"/>
    <xf numFmtId="4" fontId="67" fillId="0" borderId="105" xfId="0" applyNumberFormat="1" applyFont="1" applyFill="1" applyBorder="1" applyProtection="1"/>
    <xf numFmtId="4" fontId="67" fillId="0" borderId="68" xfId="0" applyNumberFormat="1" applyFont="1" applyFill="1" applyBorder="1" applyProtection="1"/>
    <xf numFmtId="4" fontId="63" fillId="0" borderId="82" xfId="0" applyNumberFormat="1" applyFont="1" applyFill="1" applyBorder="1"/>
    <xf numFmtId="4" fontId="67" fillId="0" borderId="105" xfId="0" applyNumberFormat="1" applyFont="1" applyFill="1" applyBorder="1" applyAlignment="1">
      <alignment horizontal="right"/>
    </xf>
    <xf numFmtId="4" fontId="67" fillId="0" borderId="68" xfId="0" applyNumberFormat="1" applyFont="1" applyFill="1" applyBorder="1" applyAlignment="1">
      <alignment horizontal="right"/>
    </xf>
    <xf numFmtId="4" fontId="63" fillId="0" borderId="85" xfId="0" applyNumberFormat="1" applyFont="1" applyFill="1" applyBorder="1"/>
    <xf numFmtId="4" fontId="40" fillId="0" borderId="0" xfId="0" applyNumberFormat="1" applyFont="1" applyFill="1" applyBorder="1" applyAlignment="1">
      <alignment horizontal="right"/>
    </xf>
    <xf numFmtId="4" fontId="68" fillId="0" borderId="87" xfId="0" applyNumberFormat="1" applyFont="1" applyFill="1" applyBorder="1" applyAlignment="1">
      <alignment horizontal="center"/>
    </xf>
    <xf numFmtId="4" fontId="63" fillId="0" borderId="54" xfId="0" applyNumberFormat="1" applyFont="1" applyFill="1" applyBorder="1"/>
    <xf numFmtId="4" fontId="63" fillId="0" borderId="46" xfId="0" applyNumberFormat="1" applyFont="1" applyFill="1" applyBorder="1"/>
    <xf numFmtId="4" fontId="67" fillId="0" borderId="85" xfId="0" applyNumberFormat="1" applyFont="1" applyFill="1" applyBorder="1"/>
    <xf numFmtId="3" fontId="66" fillId="0" borderId="0" xfId="0" applyNumberFormat="1" applyFont="1" applyFill="1" applyBorder="1" applyAlignment="1">
      <alignment horizontal="centerContinuous"/>
    </xf>
    <xf numFmtId="4" fontId="63" fillId="0" borderId="0" xfId="0" applyNumberFormat="1" applyFont="1" applyFill="1" applyBorder="1"/>
    <xf numFmtId="2" fontId="67" fillId="0" borderId="105" xfId="0" applyNumberFormat="1" applyFont="1" applyFill="1" applyBorder="1"/>
    <xf numFmtId="2" fontId="67" fillId="0" borderId="68" xfId="0" applyNumberFormat="1" applyFont="1" applyFill="1" applyBorder="1"/>
    <xf numFmtId="2" fontId="4" fillId="0" borderId="68" xfId="0" applyNumberFormat="1" applyFont="1" applyBorder="1"/>
    <xf numFmtId="0" fontId="8" fillId="0" borderId="37" xfId="0" applyFont="1" applyFill="1" applyBorder="1" applyAlignment="1" applyProtection="1"/>
    <xf numFmtId="3" fontId="4" fillId="29" borderId="29" xfId="0" applyNumberFormat="1" applyFont="1" applyFill="1" applyBorder="1"/>
    <xf numFmtId="4" fontId="4" fillId="0" borderId="68" xfId="0" applyNumberFormat="1" applyFont="1" applyFill="1" applyBorder="1"/>
    <xf numFmtId="4" fontId="18" fillId="0" borderId="60" xfId="0" applyNumberFormat="1" applyFont="1" applyFill="1" applyBorder="1"/>
    <xf numFmtId="3" fontId="3" fillId="0" borderId="60" xfId="0" applyNumberFormat="1" applyFont="1" applyFill="1" applyBorder="1"/>
    <xf numFmtId="3" fontId="18" fillId="0" borderId="82" xfId="0" applyNumberFormat="1" applyFont="1" applyFill="1" applyBorder="1"/>
    <xf numFmtId="4" fontId="4" fillId="29" borderId="68" xfId="0" applyNumberFormat="1" applyFont="1" applyFill="1" applyBorder="1"/>
    <xf numFmtId="4" fontId="4" fillId="0" borderId="28" xfId="0" applyNumberFormat="1" applyFont="1" applyBorder="1"/>
    <xf numFmtId="2" fontId="21" fillId="0" borderId="54" xfId="0" applyNumberFormat="1" applyFont="1" applyBorder="1"/>
    <xf numFmtId="4" fontId="4" fillId="0" borderId="74" xfId="78" applyNumberFormat="1" applyFont="1" applyFill="1" applyBorder="1" applyAlignment="1">
      <alignment horizontal="right"/>
    </xf>
    <xf numFmtId="4" fontId="70" fillId="0" borderId="0" xfId="0" applyNumberFormat="1" applyFont="1" applyFill="1" applyBorder="1"/>
    <xf numFmtId="0" fontId="3" fillId="0" borderId="87" xfId="78" applyFont="1" applyFill="1" applyBorder="1" applyAlignment="1">
      <alignment horizontal="left"/>
    </xf>
    <xf numFmtId="3" fontId="8" fillId="0" borderId="76" xfId="78" applyNumberFormat="1" applyFont="1" applyFill="1" applyBorder="1"/>
    <xf numFmtId="2" fontId="4" fillId="0" borderId="76" xfId="78" applyNumberFormat="1" applyFont="1" applyFill="1" applyBorder="1"/>
    <xf numFmtId="4" fontId="63" fillId="0" borderId="53" xfId="0" applyNumberFormat="1" applyFont="1" applyFill="1" applyBorder="1"/>
    <xf numFmtId="0" fontId="72" fillId="0" borderId="0" xfId="78" applyFont="1" applyFill="1"/>
    <xf numFmtId="0" fontId="42" fillId="0" borderId="18" xfId="78" applyFont="1" applyFill="1" applyBorder="1"/>
    <xf numFmtId="3" fontId="5" fillId="0" borderId="0" xfId="78" applyNumberFormat="1" applyFont="1" applyFill="1" applyBorder="1"/>
    <xf numFmtId="3" fontId="5" fillId="0" borderId="18" xfId="78" applyNumberFormat="1" applyFont="1" applyFill="1" applyBorder="1"/>
    <xf numFmtId="3" fontId="61" fillId="0" borderId="74" xfId="0" applyNumberFormat="1" applyFont="1" applyFill="1" applyBorder="1" applyAlignment="1">
      <alignment horizontal="right"/>
    </xf>
    <xf numFmtId="4" fontId="5" fillId="0" borderId="74" xfId="78" applyNumberFormat="1" applyFont="1" applyFill="1" applyBorder="1" applyAlignment="1">
      <alignment horizontal="right"/>
    </xf>
    <xf numFmtId="4" fontId="3" fillId="0" borderId="79" xfId="78" applyNumberFormat="1" applyFont="1" applyFill="1" applyBorder="1"/>
    <xf numFmtId="3" fontId="8" fillId="0" borderId="69" xfId="78" applyNumberFormat="1" applyFont="1" applyFill="1" applyBorder="1"/>
    <xf numFmtId="3" fontId="42" fillId="0" borderId="0" xfId="0" applyNumberFormat="1" applyFont="1" applyFill="1"/>
    <xf numFmtId="0" fontId="3" fillId="0" borderId="70" xfId="0" applyFont="1" applyFill="1" applyBorder="1"/>
    <xf numFmtId="3" fontId="4" fillId="29" borderId="51" xfId="0" applyNumberFormat="1" applyFont="1" applyFill="1" applyBorder="1"/>
    <xf numFmtId="0" fontId="4" fillId="29" borderId="40" xfId="0" applyFont="1" applyFill="1" applyBorder="1" applyAlignment="1" applyProtection="1">
      <alignment horizontal="left" wrapText="1"/>
    </xf>
    <xf numFmtId="4" fontId="4" fillId="0" borderId="78" xfId="0" applyNumberFormat="1" applyFont="1" applyFill="1" applyBorder="1"/>
    <xf numFmtId="0" fontId="6" fillId="0" borderId="0" xfId="0" applyFont="1"/>
    <xf numFmtId="0" fontId="4" fillId="0" borderId="62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4" fillId="0" borderId="69" xfId="0" applyFont="1" applyFill="1" applyBorder="1" applyAlignment="1">
      <alignment horizontal="left" wrapText="1"/>
    </xf>
    <xf numFmtId="49" fontId="4" fillId="0" borderId="0" xfId="0" applyNumberFormat="1" applyFont="1" applyFill="1"/>
    <xf numFmtId="3" fontId="4" fillId="0" borderId="31" xfId="78" applyNumberFormat="1" applyFont="1" applyFill="1" applyBorder="1"/>
    <xf numFmtId="0" fontId="4" fillId="29" borderId="40" xfId="0" applyFont="1" applyFill="1" applyBorder="1" applyAlignment="1">
      <alignment horizontal="justify"/>
    </xf>
    <xf numFmtId="0" fontId="4" fillId="0" borderId="32" xfId="78" applyFont="1" applyFill="1" applyBorder="1"/>
    <xf numFmtId="3" fontId="4" fillId="0" borderId="0" xfId="0" applyNumberFormat="1" applyFont="1" applyFill="1" applyBorder="1" applyAlignment="1">
      <alignment wrapText="1"/>
    </xf>
    <xf numFmtId="0" fontId="4" fillId="0" borderId="98" xfId="0" applyFont="1" applyFill="1" applyBorder="1" applyAlignment="1" applyProtection="1">
      <alignment horizontal="left"/>
    </xf>
    <xf numFmtId="0" fontId="42" fillId="0" borderId="0" xfId="78" applyFont="1" applyFill="1" applyBorder="1" applyAlignment="1">
      <alignment horizontal="left"/>
    </xf>
    <xf numFmtId="3" fontId="4" fillId="0" borderId="76" xfId="78" applyNumberFormat="1" applyFont="1" applyFill="1" applyBorder="1" applyAlignment="1">
      <alignment horizontal="right"/>
    </xf>
    <xf numFmtId="0" fontId="3" fillId="0" borderId="0" xfId="78" applyFont="1" applyFill="1" applyBorder="1" applyAlignment="1">
      <alignment horizontal="justify"/>
    </xf>
    <xf numFmtId="0" fontId="21" fillId="0" borderId="24" xfId="0" applyFont="1" applyFill="1" applyBorder="1" applyAlignment="1" applyProtection="1">
      <alignment horizontal="center"/>
    </xf>
    <xf numFmtId="3" fontId="4" fillId="0" borderId="110" xfId="78" applyNumberFormat="1" applyFont="1" applyFill="1" applyBorder="1"/>
    <xf numFmtId="2" fontId="4" fillId="0" borderId="110" xfId="78" applyNumberFormat="1" applyFont="1" applyFill="1" applyBorder="1"/>
    <xf numFmtId="2" fontId="4" fillId="0" borderId="79" xfId="78" applyNumberFormat="1" applyFont="1" applyFill="1" applyBorder="1"/>
    <xf numFmtId="3" fontId="42" fillId="0" borderId="0" xfId="0" applyNumberFormat="1" applyFont="1" applyFill="1" applyBorder="1"/>
    <xf numFmtId="2" fontId="4" fillId="29" borderId="59" xfId="0" applyNumberFormat="1" applyFont="1" applyFill="1" applyBorder="1"/>
    <xf numFmtId="0" fontId="4" fillId="29" borderId="18" xfId="0" applyFont="1" applyFill="1" applyBorder="1" applyAlignment="1" applyProtection="1">
      <alignment horizontal="left" wrapText="1"/>
    </xf>
    <xf numFmtId="0" fontId="4" fillId="0" borderId="111" xfId="0" applyFont="1" applyFill="1" applyBorder="1"/>
    <xf numFmtId="3" fontId="4" fillId="0" borderId="111" xfId="0" applyNumberFormat="1" applyFont="1" applyFill="1" applyBorder="1"/>
    <xf numFmtId="4" fontId="4" fillId="0" borderId="111" xfId="0" applyNumberFormat="1" applyFont="1" applyFill="1" applyBorder="1"/>
    <xf numFmtId="0" fontId="4" fillId="29" borderId="112" xfId="0" applyFont="1" applyFill="1" applyBorder="1" applyAlignment="1">
      <alignment horizontal="justify"/>
    </xf>
    <xf numFmtId="0" fontId="4" fillId="0" borderId="98" xfId="0" applyFont="1" applyFill="1" applyBorder="1"/>
    <xf numFmtId="3" fontId="4" fillId="0" borderId="35" xfId="0" applyNumberFormat="1" applyFont="1" applyFill="1" applyBorder="1" applyProtection="1">
      <protection locked="0"/>
    </xf>
    <xf numFmtId="2" fontId="4" fillId="0" borderId="113" xfId="0" applyNumberFormat="1" applyFont="1" applyFill="1" applyBorder="1"/>
    <xf numFmtId="3" fontId="4" fillId="0" borderId="76" xfId="0" applyNumberFormat="1" applyFont="1" applyFill="1" applyBorder="1" applyAlignment="1">
      <alignment horizontal="right"/>
    </xf>
    <xf numFmtId="4" fontId="4" fillId="0" borderId="76" xfId="0" applyNumberFormat="1" applyFont="1" applyFill="1" applyBorder="1" applyAlignment="1">
      <alignment horizontal="right"/>
    </xf>
    <xf numFmtId="3" fontId="8" fillId="0" borderId="76" xfId="0" applyNumberFormat="1" applyFont="1" applyFill="1" applyBorder="1" applyAlignment="1">
      <alignment horizontal="right"/>
    </xf>
    <xf numFmtId="3" fontId="4" fillId="0" borderId="74" xfId="0" applyNumberFormat="1" applyFont="1" applyFill="1" applyBorder="1" applyAlignment="1">
      <alignment horizontal="right"/>
    </xf>
    <xf numFmtId="4" fontId="4" fillId="0" borderId="74" xfId="0" applyNumberFormat="1" applyFont="1" applyFill="1" applyBorder="1" applyAlignment="1">
      <alignment horizontal="right"/>
    </xf>
    <xf numFmtId="3" fontId="4" fillId="0" borderId="69" xfId="0" applyNumberFormat="1" applyFont="1" applyFill="1" applyBorder="1" applyAlignment="1">
      <alignment horizontal="right"/>
    </xf>
    <xf numFmtId="3" fontId="3" fillId="0" borderId="70" xfId="0" applyNumberFormat="1" applyFont="1" applyFill="1" applyBorder="1" applyAlignment="1">
      <alignment horizontal="right"/>
    </xf>
    <xf numFmtId="4" fontId="21" fillId="0" borderId="70" xfId="0" applyNumberFormat="1" applyFont="1" applyFill="1" applyBorder="1" applyAlignment="1">
      <alignment horizontal="right"/>
    </xf>
    <xf numFmtId="3" fontId="7" fillId="0" borderId="74" xfId="79" applyNumberFormat="1" applyFont="1" applyFill="1" applyBorder="1" applyAlignment="1">
      <alignment horizontal="right" wrapText="1"/>
    </xf>
    <xf numFmtId="4" fontId="21" fillId="0" borderId="77" xfId="0" applyNumberFormat="1" applyFont="1" applyFill="1" applyBorder="1" applyAlignment="1">
      <alignment horizontal="right"/>
    </xf>
    <xf numFmtId="0" fontId="4" fillId="0" borderId="74" xfId="0" applyFont="1" applyFill="1" applyBorder="1" applyAlignment="1"/>
    <xf numFmtId="3" fontId="7" fillId="0" borderId="74" xfId="79" applyNumberFormat="1" applyFont="1" applyFill="1" applyBorder="1" applyAlignment="1">
      <alignment horizontal="justify" wrapText="1"/>
    </xf>
    <xf numFmtId="3" fontId="7" fillId="0" borderId="76" xfId="79" applyNumberFormat="1" applyFont="1" applyFill="1" applyBorder="1" applyAlignment="1">
      <alignment horizontal="justify" wrapText="1"/>
    </xf>
    <xf numFmtId="4" fontId="4" fillId="0" borderId="78" xfId="0" applyNumberFormat="1" applyFont="1" applyBorder="1"/>
    <xf numFmtId="4" fontId="4" fillId="0" borderId="27" xfId="0" applyNumberFormat="1" applyFont="1" applyBorder="1"/>
    <xf numFmtId="4" fontId="4" fillId="0" borderId="67" xfId="0" applyNumberFormat="1" applyFont="1" applyBorder="1"/>
    <xf numFmtId="4" fontId="4" fillId="0" borderId="67" xfId="0" applyNumberFormat="1" applyFont="1" applyFill="1" applyBorder="1"/>
    <xf numFmtId="3" fontId="4" fillId="0" borderId="18" xfId="0" applyNumberFormat="1" applyFont="1" applyBorder="1"/>
    <xf numFmtId="4" fontId="4" fillId="0" borderId="87" xfId="0" applyNumberFormat="1" applyFont="1" applyBorder="1"/>
    <xf numFmtId="3" fontId="13" fillId="0" borderId="0" xfId="0" applyNumberFormat="1" applyFont="1" applyBorder="1"/>
    <xf numFmtId="0" fontId="6" fillId="0" borderId="0" xfId="0" applyFont="1" applyFill="1" applyBorder="1" applyAlignment="1">
      <alignment horizontal="justify"/>
    </xf>
    <xf numFmtId="0" fontId="4" fillId="0" borderId="0" xfId="78" applyFont="1" applyFill="1" applyAlignment="1">
      <alignment wrapText="1"/>
    </xf>
    <xf numFmtId="0" fontId="11" fillId="0" borderId="0" xfId="78" applyFont="1" applyFill="1" applyBorder="1"/>
    <xf numFmtId="3" fontId="4" fillId="0" borderId="0" xfId="78" applyNumberFormat="1" applyFont="1" applyFill="1" applyBorder="1" applyAlignment="1">
      <alignment horizontal="right"/>
    </xf>
    <xf numFmtId="0" fontId="21" fillId="0" borderId="0" xfId="78" applyFont="1" applyFill="1" applyBorder="1"/>
    <xf numFmtId="0" fontId="42" fillId="0" borderId="0" xfId="78" applyFont="1" applyFill="1" applyBorder="1"/>
    <xf numFmtId="3" fontId="61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 applyBorder="1" applyAlignment="1">
      <alignment horizontal="right"/>
    </xf>
    <xf numFmtId="3" fontId="71" fillId="0" borderId="0" xfId="0" applyNumberFormat="1" applyFont="1" applyFill="1" applyBorder="1" applyAlignment="1">
      <alignment horizontal="center"/>
    </xf>
    <xf numFmtId="3" fontId="3" fillId="0" borderId="74" xfId="78" applyNumberFormat="1" applyFont="1" applyFill="1" applyBorder="1"/>
    <xf numFmtId="0" fontId="3" fillId="0" borderId="26" xfId="78" applyFont="1" applyFill="1" applyBorder="1" applyAlignment="1">
      <alignment horizontal="left"/>
    </xf>
    <xf numFmtId="0" fontId="3" fillId="0" borderId="90" xfId="78" applyFont="1" applyFill="1" applyBorder="1" applyAlignment="1">
      <alignment horizontal="left"/>
    </xf>
    <xf numFmtId="0" fontId="4" fillId="0" borderId="74" xfId="0" applyFont="1" applyFill="1" applyBorder="1"/>
    <xf numFmtId="0" fontId="4" fillId="0" borderId="40" xfId="0" applyFont="1" applyFill="1" applyBorder="1" applyAlignment="1">
      <alignment wrapText="1"/>
    </xf>
    <xf numFmtId="0" fontId="4" fillId="0" borderId="69" xfId="0" applyFont="1" applyFill="1" applyBorder="1" applyAlignment="1"/>
    <xf numFmtId="3" fontId="4" fillId="29" borderId="33" xfId="0" applyNumberFormat="1" applyFont="1" applyFill="1" applyBorder="1" applyProtection="1">
      <protection locked="0"/>
    </xf>
    <xf numFmtId="0" fontId="67" fillId="0" borderId="0" xfId="0" applyFont="1"/>
    <xf numFmtId="0" fontId="67" fillId="0" borderId="0" xfId="0" applyFont="1" applyAlignment="1">
      <alignment horizontal="right"/>
    </xf>
    <xf numFmtId="3" fontId="67" fillId="0" borderId="0" xfId="0" applyNumberFormat="1" applyFont="1" applyAlignment="1">
      <alignment horizontal="right"/>
    </xf>
    <xf numFmtId="3" fontId="75" fillId="0" borderId="0" xfId="0" applyNumberFormat="1" applyFont="1"/>
    <xf numFmtId="3" fontId="75" fillId="0" borderId="0" xfId="0" applyNumberFormat="1" applyFont="1" applyFill="1"/>
    <xf numFmtId="3" fontId="75" fillId="0" borderId="0" xfId="0" applyNumberFormat="1" applyFont="1" applyFill="1" applyAlignment="1">
      <alignment wrapText="1"/>
    </xf>
    <xf numFmtId="3" fontId="76" fillId="0" borderId="0" xfId="0" applyNumberFormat="1" applyFont="1"/>
    <xf numFmtId="3" fontId="4" fillId="0" borderId="119" xfId="0" applyNumberFormat="1" applyFont="1" applyFill="1" applyBorder="1" applyAlignment="1">
      <alignment horizontal="right"/>
    </xf>
    <xf numFmtId="0" fontId="8" fillId="29" borderId="38" xfId="0" applyFont="1" applyFill="1" applyBorder="1" applyAlignment="1">
      <alignment horizontal="justify"/>
    </xf>
    <xf numFmtId="0" fontId="8" fillId="29" borderId="40" xfId="0" applyFont="1" applyFill="1" applyBorder="1" applyAlignment="1">
      <alignment horizontal="justify"/>
    </xf>
    <xf numFmtId="0" fontId="8" fillId="29" borderId="23" xfId="0" applyFont="1" applyFill="1" applyBorder="1" applyAlignment="1">
      <alignment horizontal="justify"/>
    </xf>
    <xf numFmtId="4" fontId="4" fillId="0" borderId="74" xfId="0" applyNumberFormat="1" applyFont="1" applyFill="1" applyBorder="1"/>
    <xf numFmtId="4" fontId="8" fillId="0" borderId="74" xfId="78" applyNumberFormat="1" applyFont="1" applyFill="1" applyBorder="1" applyAlignment="1">
      <alignment horizontal="right"/>
    </xf>
    <xf numFmtId="4" fontId="4" fillId="0" borderId="110" xfId="0" applyNumberFormat="1" applyFont="1" applyFill="1" applyBorder="1" applyAlignment="1">
      <alignment horizontal="right"/>
    </xf>
    <xf numFmtId="3" fontId="7" fillId="0" borderId="110" xfId="79" applyNumberFormat="1" applyFont="1" applyFill="1" applyBorder="1" applyAlignment="1">
      <alignment horizontal="justify" wrapText="1"/>
    </xf>
    <xf numFmtId="0" fontId="18" fillId="0" borderId="0" xfId="0" applyFont="1" applyFill="1" applyAlignment="1">
      <alignment horizontal="center"/>
    </xf>
    <xf numFmtId="0" fontId="65" fillId="0" borderId="0" xfId="0" applyFont="1" applyFill="1"/>
    <xf numFmtId="0" fontId="40" fillId="0" borderId="0" xfId="0" applyFont="1" applyFill="1"/>
    <xf numFmtId="0" fontId="40" fillId="0" borderId="16" xfId="0" applyFont="1" applyFill="1" applyBorder="1" applyProtection="1"/>
    <xf numFmtId="0" fontId="18" fillId="0" borderId="16" xfId="0" applyFont="1" applyFill="1" applyBorder="1" applyProtection="1"/>
    <xf numFmtId="0" fontId="40" fillId="0" borderId="37" xfId="78" applyFont="1" applyFill="1" applyBorder="1" applyAlignment="1">
      <alignment horizontal="justify"/>
    </xf>
    <xf numFmtId="0" fontId="40" fillId="0" borderId="0" xfId="78" applyFont="1" applyFill="1" applyBorder="1" applyAlignment="1">
      <alignment horizontal="justify"/>
    </xf>
    <xf numFmtId="0" fontId="3" fillId="0" borderId="23" xfId="0" applyFont="1" applyBorder="1" applyAlignment="1">
      <alignment horizontal="center"/>
    </xf>
    <xf numFmtId="0" fontId="4" fillId="0" borderId="38" xfId="0" applyFont="1" applyBorder="1"/>
    <xf numFmtId="3" fontId="6" fillId="0" borderId="0" xfId="78" applyNumberFormat="1" applyFont="1" applyFill="1" applyBorder="1"/>
    <xf numFmtId="0" fontId="6" fillId="0" borderId="0" xfId="78" applyFont="1"/>
    <xf numFmtId="0" fontId="6" fillId="0" borderId="0" xfId="78" applyFont="1" applyFill="1"/>
    <xf numFmtId="0" fontId="8" fillId="0" borderId="0" xfId="0" applyFont="1" applyFill="1" applyBorder="1"/>
    <xf numFmtId="0" fontId="4" fillId="0" borderId="37" xfId="0" applyFont="1" applyFill="1" applyBorder="1" applyAlignment="1">
      <alignment horizontal="left"/>
    </xf>
    <xf numFmtId="3" fontId="3" fillId="0" borderId="0" xfId="0" applyNumberFormat="1" applyFont="1" applyFill="1"/>
    <xf numFmtId="3" fontId="4" fillId="0" borderId="120" xfId="0" applyNumberFormat="1" applyFont="1" applyFill="1" applyBorder="1"/>
    <xf numFmtId="4" fontId="4" fillId="0" borderId="59" xfId="0" applyNumberFormat="1" applyFont="1" applyBorder="1"/>
    <xf numFmtId="4" fontId="4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4" fillId="29" borderId="121" xfId="0" applyNumberFormat="1" applyFont="1" applyFill="1" applyBorder="1"/>
    <xf numFmtId="3" fontId="4" fillId="29" borderId="111" xfId="0" applyNumberFormat="1" applyFont="1" applyFill="1" applyBorder="1"/>
    <xf numFmtId="0" fontId="4" fillId="29" borderId="38" xfId="0" applyFont="1" applyFill="1" applyBorder="1" applyAlignment="1">
      <alignment horizontal="justify"/>
    </xf>
    <xf numFmtId="3" fontId="4" fillId="29" borderId="76" xfId="0" applyNumberFormat="1" applyFont="1" applyFill="1" applyBorder="1"/>
    <xf numFmtId="0" fontId="4" fillId="29" borderId="38" xfId="0" applyFont="1" applyFill="1" applyBorder="1" applyAlignment="1">
      <alignment horizontal="justify" wrapText="1"/>
    </xf>
    <xf numFmtId="0" fontId="4" fillId="29" borderId="40" xfId="0" applyFont="1" applyFill="1" applyBorder="1" applyAlignment="1">
      <alignment horizontal="justify" wrapText="1"/>
    </xf>
    <xf numFmtId="0" fontId="4" fillId="29" borderId="62" xfId="0" applyFont="1" applyFill="1" applyBorder="1" applyAlignment="1">
      <alignment horizontal="justify"/>
    </xf>
    <xf numFmtId="0" fontId="4" fillId="0" borderId="0" xfId="0" applyFont="1" applyFill="1" applyAlignment="1">
      <alignment wrapText="1"/>
    </xf>
    <xf numFmtId="0" fontId="4" fillId="0" borderId="112" xfId="0" applyFont="1" applyFill="1" applyBorder="1"/>
    <xf numFmtId="0" fontId="4" fillId="0" borderId="122" xfId="0" applyFont="1" applyFill="1" applyBorder="1"/>
    <xf numFmtId="3" fontId="4" fillId="0" borderId="123" xfId="0" applyNumberFormat="1" applyFont="1" applyFill="1" applyBorder="1" applyProtection="1">
      <protection locked="0"/>
    </xf>
    <xf numFmtId="2" fontId="3" fillId="0" borderId="105" xfId="0" applyNumberFormat="1" applyFont="1" applyFill="1" applyBorder="1"/>
    <xf numFmtId="3" fontId="4" fillId="0" borderId="29" xfId="0" applyNumberFormat="1" applyFont="1" applyFill="1" applyBorder="1" applyProtection="1">
      <protection locked="0"/>
    </xf>
    <xf numFmtId="0" fontId="3" fillId="0" borderId="37" xfId="78" applyFont="1" applyFill="1" applyBorder="1" applyAlignment="1">
      <alignment horizontal="justify"/>
    </xf>
    <xf numFmtId="3" fontId="3" fillId="0" borderId="0" xfId="78" applyNumberFormat="1" applyFont="1" applyFill="1" applyBorder="1"/>
    <xf numFmtId="3" fontId="67" fillId="0" borderId="52" xfId="0" applyNumberFormat="1" applyFont="1" applyFill="1" applyBorder="1"/>
    <xf numFmtId="4" fontId="67" fillId="0" borderId="87" xfId="0" applyNumberFormat="1" applyFont="1" applyFill="1" applyBorder="1"/>
    <xf numFmtId="3" fontId="8" fillId="0" borderId="0" xfId="0" applyNumberFormat="1" applyFont="1" applyFill="1"/>
    <xf numFmtId="4" fontId="4" fillId="29" borderId="76" xfId="0" applyNumberFormat="1" applyFont="1" applyFill="1" applyBorder="1"/>
    <xf numFmtId="0" fontId="4" fillId="29" borderId="74" xfId="0" applyFont="1" applyFill="1" applyBorder="1"/>
    <xf numFmtId="0" fontId="39" fillId="0" borderId="76" xfId="0" applyFont="1" applyBorder="1" applyAlignment="1">
      <alignment horizontal="justify"/>
    </xf>
    <xf numFmtId="0" fontId="39" fillId="0" borderId="72" xfId="0" applyFont="1" applyFill="1" applyBorder="1" applyAlignment="1">
      <alignment horizontal="justify"/>
    </xf>
    <xf numFmtId="0" fontId="39" fillId="0" borderId="111" xfId="0" applyFont="1" applyFill="1" applyBorder="1" applyAlignment="1">
      <alignment horizontal="justify"/>
    </xf>
    <xf numFmtId="0" fontId="39" fillId="0" borderId="74" xfId="0" applyFont="1" applyFill="1" applyBorder="1" applyAlignment="1">
      <alignment horizontal="justify"/>
    </xf>
    <xf numFmtId="0" fontId="4" fillId="29" borderId="111" xfId="0" applyFont="1" applyFill="1" applyBorder="1"/>
    <xf numFmtId="4" fontId="4" fillId="29" borderId="111" xfId="0" applyNumberFormat="1" applyFont="1" applyFill="1" applyBorder="1"/>
    <xf numFmtId="0" fontId="4" fillId="29" borderId="69" xfId="0" applyFont="1" applyFill="1" applyBorder="1"/>
    <xf numFmtId="4" fontId="4" fillId="29" borderId="69" xfId="0" applyNumberFormat="1" applyFont="1" applyFill="1" applyBorder="1"/>
    <xf numFmtId="4" fontId="4" fillId="29" borderId="74" xfId="0" applyNumberFormat="1" applyFont="1" applyFill="1" applyBorder="1"/>
    <xf numFmtId="4" fontId="4" fillId="29" borderId="67" xfId="0" applyNumberFormat="1" applyFont="1" applyFill="1" applyBorder="1"/>
    <xf numFmtId="3" fontId="5" fillId="0" borderId="16" xfId="0" applyNumberFormat="1" applyFont="1" applyBorder="1" applyAlignment="1">
      <alignment horizontal="left"/>
    </xf>
    <xf numFmtId="3" fontId="3" fillId="0" borderId="107" xfId="0" applyNumberFormat="1" applyFont="1" applyBorder="1"/>
    <xf numFmtId="0" fontId="4" fillId="0" borderId="0" xfId="0" applyFont="1" applyFill="1" applyBorder="1" applyAlignment="1">
      <alignment horizontal="justify"/>
    </xf>
    <xf numFmtId="0" fontId="4" fillId="29" borderId="18" xfId="0" applyFont="1" applyFill="1" applyBorder="1" applyAlignment="1">
      <alignment horizontal="left" wrapText="1"/>
    </xf>
    <xf numFmtId="0" fontId="4" fillId="29" borderId="40" xfId="0" applyFont="1" applyFill="1" applyBorder="1" applyAlignment="1">
      <alignment horizontal="left" wrapText="1"/>
    </xf>
    <xf numFmtId="0" fontId="4" fillId="29" borderId="19" xfId="0" applyFont="1" applyFill="1" applyBorder="1" applyAlignment="1">
      <alignment horizontal="left" wrapText="1"/>
    </xf>
    <xf numFmtId="3" fontId="4" fillId="29" borderId="61" xfId="0" applyNumberFormat="1" applyFont="1" applyFill="1" applyBorder="1"/>
    <xf numFmtId="4" fontId="4" fillId="29" borderId="71" xfId="0" applyNumberFormat="1" applyFont="1" applyFill="1" applyBorder="1"/>
    <xf numFmtId="3" fontId="8" fillId="29" borderId="45" xfId="0" applyNumberFormat="1" applyFont="1" applyFill="1" applyBorder="1" applyAlignment="1">
      <alignment horizontal="right"/>
    </xf>
    <xf numFmtId="3" fontId="4" fillId="29" borderId="47" xfId="0" applyNumberFormat="1" applyFont="1" applyFill="1" applyBorder="1" applyAlignment="1">
      <alignment horizontal="right"/>
    </xf>
    <xf numFmtId="0" fontId="3" fillId="29" borderId="36" xfId="0" applyFont="1" applyFill="1" applyBorder="1" applyAlignment="1">
      <alignment horizontal="center"/>
    </xf>
    <xf numFmtId="3" fontId="4" fillId="29" borderId="34" xfId="0" applyNumberFormat="1" applyFont="1" applyFill="1" applyBorder="1" applyAlignment="1">
      <alignment horizontal="right"/>
    </xf>
    <xf numFmtId="3" fontId="4" fillId="29" borderId="33" xfId="0" applyNumberFormat="1" applyFont="1" applyFill="1" applyBorder="1"/>
    <xf numFmtId="0" fontId="4" fillId="29" borderId="40" xfId="0" applyFont="1" applyFill="1" applyBorder="1" applyAlignment="1"/>
    <xf numFmtId="0" fontId="77" fillId="29" borderId="37" xfId="0" applyFont="1" applyFill="1" applyBorder="1" applyAlignment="1"/>
    <xf numFmtId="0" fontId="77" fillId="29" borderId="39" xfId="0" applyFont="1" applyFill="1" applyBorder="1" applyAlignment="1"/>
    <xf numFmtId="3" fontId="13" fillId="0" borderId="0" xfId="0" applyNumberFormat="1" applyFont="1" applyFill="1" applyAlignment="1">
      <alignment wrapText="1"/>
    </xf>
    <xf numFmtId="0" fontId="8" fillId="0" borderId="40" xfId="0" applyFont="1" applyFill="1" applyBorder="1" applyAlignment="1">
      <alignment horizontal="justify"/>
    </xf>
    <xf numFmtId="3" fontId="4" fillId="0" borderId="121" xfId="0" applyNumberFormat="1" applyFont="1" applyFill="1" applyBorder="1"/>
    <xf numFmtId="2" fontId="3" fillId="0" borderId="125" xfId="0" applyNumberFormat="1" applyFont="1" applyFill="1" applyBorder="1"/>
    <xf numFmtId="2" fontId="3" fillId="0" borderId="68" xfId="0" applyNumberFormat="1" applyFont="1" applyFill="1" applyBorder="1"/>
    <xf numFmtId="3" fontId="67" fillId="0" borderId="0" xfId="0" applyNumberFormat="1" applyFont="1" applyFill="1"/>
    <xf numFmtId="0" fontId="67" fillId="0" borderId="0" xfId="0" applyFont="1" applyFill="1"/>
    <xf numFmtId="3" fontId="79" fillId="0" borderId="0" xfId="0" applyNumberFormat="1" applyFont="1" applyFill="1"/>
    <xf numFmtId="0" fontId="79" fillId="0" borderId="0" xfId="0" applyFont="1" applyFill="1"/>
    <xf numFmtId="3" fontId="80" fillId="0" borderId="0" xfId="0" applyNumberFormat="1" applyFont="1"/>
    <xf numFmtId="0" fontId="80" fillId="0" borderId="0" xfId="0" applyFont="1"/>
    <xf numFmtId="0" fontId="79" fillId="0" borderId="0" xfId="0" applyFont="1" applyFill="1" applyBorder="1"/>
    <xf numFmtId="0" fontId="81" fillId="0" borderId="0" xfId="0" applyFont="1" applyFill="1"/>
    <xf numFmtId="0" fontId="67" fillId="0" borderId="0" xfId="0" applyFont="1" applyFill="1" applyBorder="1"/>
    <xf numFmtId="3" fontId="63" fillId="0" borderId="0" xfId="0" applyNumberFormat="1" applyFont="1" applyFill="1"/>
    <xf numFmtId="0" fontId="63" fillId="0" borderId="0" xfId="0" applyFont="1" applyFill="1"/>
    <xf numFmtId="3" fontId="81" fillId="0" borderId="0" xfId="0" applyNumberFormat="1" applyFont="1" applyFill="1"/>
    <xf numFmtId="3" fontId="43" fillId="0" borderId="0" xfId="0" applyNumberFormat="1" applyFont="1"/>
    <xf numFmtId="0" fontId="43" fillId="0" borderId="0" xfId="0" applyFont="1"/>
    <xf numFmtId="4" fontId="4" fillId="0" borderId="69" xfId="0" applyNumberFormat="1" applyFont="1" applyFill="1" applyBorder="1"/>
    <xf numFmtId="0" fontId="8" fillId="0" borderId="62" xfId="0" applyFont="1" applyFill="1" applyBorder="1" applyAlignment="1">
      <alignment horizontal="justify"/>
    </xf>
    <xf numFmtId="0" fontId="4" fillId="29" borderId="40" xfId="0" applyFont="1" applyFill="1" applyBorder="1" applyAlignment="1" applyProtection="1">
      <alignment horizontal="left"/>
    </xf>
    <xf numFmtId="3" fontId="4" fillId="29" borderId="38" xfId="0" applyNumberFormat="1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3" fontId="4" fillId="0" borderId="104" xfId="0" applyNumberFormat="1" applyFont="1" applyBorder="1"/>
    <xf numFmtId="0" fontId="8" fillId="0" borderId="50" xfId="78" applyFont="1" applyFill="1" applyBorder="1" applyAlignment="1">
      <alignment horizontal="left" wrapText="1"/>
    </xf>
    <xf numFmtId="3" fontId="40" fillId="0" borderId="0" xfId="0" applyNumberFormat="1" applyFont="1" applyFill="1" applyBorder="1" applyAlignment="1">
      <alignment wrapText="1"/>
    </xf>
    <xf numFmtId="0" fontId="4" fillId="0" borderId="66" xfId="0" applyFont="1" applyFill="1" applyBorder="1"/>
    <xf numFmtId="0" fontId="4" fillId="0" borderId="0" xfId="0" applyFont="1" applyFill="1" applyBorder="1" applyAlignment="1">
      <alignment horizontal="justify" wrapText="1"/>
    </xf>
    <xf numFmtId="0" fontId="4" fillId="0" borderId="50" xfId="78" applyFont="1" applyFill="1" applyBorder="1" applyAlignment="1">
      <alignment horizontal="justify"/>
    </xf>
    <xf numFmtId="0" fontId="8" fillId="0" borderId="37" xfId="0" applyFont="1" applyFill="1" applyBorder="1" applyAlignment="1" applyProtection="1">
      <alignment horizontal="left"/>
    </xf>
    <xf numFmtId="0" fontId="4" fillId="0" borderId="74" xfId="0" applyFont="1" applyFill="1" applyBorder="1" applyAlignment="1">
      <alignment wrapText="1"/>
    </xf>
    <xf numFmtId="3" fontId="4" fillId="0" borderId="80" xfId="0" applyNumberFormat="1" applyFont="1" applyFill="1" applyBorder="1" applyAlignment="1">
      <alignment wrapText="1"/>
    </xf>
    <xf numFmtId="0" fontId="4" fillId="0" borderId="80" xfId="78" applyFont="1" applyFill="1" applyBorder="1" applyAlignment="1">
      <alignment horizontal="left" wrapText="1"/>
    </xf>
    <xf numFmtId="0" fontId="4" fillId="0" borderId="50" xfId="0" applyFont="1" applyFill="1" applyBorder="1" applyAlignment="1">
      <alignment wrapText="1"/>
    </xf>
    <xf numFmtId="3" fontId="4" fillId="30" borderId="0" xfId="0" applyNumberFormat="1" applyFont="1" applyFill="1"/>
    <xf numFmtId="3" fontId="84" fillId="30" borderId="0" xfId="0" applyNumberFormat="1" applyFont="1" applyFill="1"/>
    <xf numFmtId="3" fontId="80" fillId="30" borderId="0" xfId="0" applyNumberFormat="1" applyFont="1" applyFill="1"/>
    <xf numFmtId="3" fontId="4" fillId="0" borderId="0" xfId="78" applyNumberFormat="1" applyFont="1" applyFill="1" applyAlignment="1">
      <alignment wrapText="1"/>
    </xf>
    <xf numFmtId="4" fontId="67" fillId="0" borderId="85" xfId="0" applyNumberFormat="1" applyFont="1" applyFill="1" applyBorder="1" applyAlignment="1">
      <alignment horizontal="right"/>
    </xf>
    <xf numFmtId="3" fontId="4" fillId="0" borderId="45" xfId="78" applyNumberFormat="1" applyFont="1" applyFill="1" applyBorder="1" applyAlignment="1">
      <alignment horizontal="right"/>
    </xf>
    <xf numFmtId="3" fontId="3" fillId="0" borderId="43" xfId="78" applyNumberFormat="1" applyFont="1" applyFill="1" applyBorder="1" applyAlignment="1">
      <alignment horizontal="right"/>
    </xf>
    <xf numFmtId="0" fontId="42" fillId="0" borderId="69" xfId="0" applyFont="1" applyFill="1" applyBorder="1" applyAlignment="1">
      <alignment horizontal="left" wrapText="1"/>
    </xf>
    <xf numFmtId="0" fontId="4" fillId="29" borderId="76" xfId="0" applyFont="1" applyFill="1" applyBorder="1" applyAlignment="1">
      <alignment wrapText="1"/>
    </xf>
    <xf numFmtId="0" fontId="4" fillId="29" borderId="74" xfId="0" applyFont="1" applyFill="1" applyBorder="1" applyAlignment="1">
      <alignment wrapText="1"/>
    </xf>
    <xf numFmtId="0" fontId="4" fillId="0" borderId="74" xfId="0" applyFont="1" applyFill="1" applyBorder="1" applyAlignment="1" applyProtection="1">
      <alignment horizontal="left" wrapText="1"/>
    </xf>
    <xf numFmtId="0" fontId="4" fillId="0" borderId="74" xfId="0" applyFont="1" applyFill="1" applyBorder="1" applyAlignment="1" applyProtection="1">
      <alignment horizontal="left"/>
    </xf>
    <xf numFmtId="0" fontId="4" fillId="0" borderId="72" xfId="0" applyFont="1" applyFill="1" applyBorder="1" applyAlignment="1" applyProtection="1">
      <alignment horizontal="left"/>
    </xf>
    <xf numFmtId="0" fontId="18" fillId="0" borderId="78" xfId="0" applyFont="1" applyFill="1" applyBorder="1"/>
    <xf numFmtId="3" fontId="4" fillId="0" borderId="66" xfId="0" applyNumberFormat="1" applyFont="1" applyFill="1" applyBorder="1"/>
    <xf numFmtId="0" fontId="4" fillId="0" borderId="126" xfId="0" applyFont="1" applyFill="1" applyBorder="1"/>
    <xf numFmtId="3" fontId="4" fillId="0" borderId="72" xfId="0" applyNumberFormat="1" applyFont="1" applyFill="1" applyBorder="1"/>
    <xf numFmtId="2" fontId="4" fillId="0" borderId="74" xfId="0" applyNumberFormat="1" applyFont="1" applyFill="1" applyBorder="1"/>
    <xf numFmtId="0" fontId="3" fillId="0" borderId="4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9" fillId="0" borderId="0" xfId="0" applyFont="1" applyFill="1"/>
    <xf numFmtId="0" fontId="39" fillId="0" borderId="0" xfId="79" applyFont="1" applyAlignment="1">
      <alignment horizontal="right"/>
    </xf>
    <xf numFmtId="0" fontId="78" fillId="0" borderId="23" xfId="0" applyFont="1" applyFill="1" applyBorder="1"/>
    <xf numFmtId="3" fontId="78" fillId="0" borderId="27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/>
    <xf numFmtId="0" fontId="15" fillId="0" borderId="26" xfId="0" quotePrefix="1" applyFont="1" applyFill="1" applyBorder="1"/>
    <xf numFmtId="3" fontId="15" fillId="0" borderId="58" xfId="0" quotePrefix="1" applyNumberFormat="1" applyFont="1" applyFill="1" applyBorder="1" applyAlignment="1">
      <alignment horizontal="right"/>
    </xf>
    <xf numFmtId="0" fontId="15" fillId="0" borderId="0" xfId="0" applyFont="1" applyFill="1"/>
    <xf numFmtId="3" fontId="15" fillId="0" borderId="0" xfId="0" quotePrefix="1" applyNumberFormat="1" applyFont="1" applyFill="1" applyBorder="1" applyAlignment="1">
      <alignment horizontal="right"/>
    </xf>
    <xf numFmtId="3" fontId="15" fillId="0" borderId="0" xfId="0" applyNumberFormat="1" applyFont="1" applyFill="1"/>
    <xf numFmtId="49" fontId="39" fillId="0" borderId="18" xfId="0" applyNumberFormat="1" applyFont="1" applyFill="1" applyBorder="1"/>
    <xf numFmtId="3" fontId="39" fillId="0" borderId="59" xfId="0" quotePrefix="1" applyNumberFormat="1" applyFont="1" applyFill="1" applyBorder="1" applyAlignment="1">
      <alignment horizontal="right"/>
    </xf>
    <xf numFmtId="3" fontId="39" fillId="0" borderId="0" xfId="0" quotePrefix="1" applyNumberFormat="1" applyFont="1" applyFill="1" applyBorder="1" applyAlignment="1">
      <alignment horizontal="right"/>
    </xf>
    <xf numFmtId="0" fontId="39" fillId="0" borderId="26" xfId="0" quotePrefix="1" applyFont="1" applyFill="1" applyBorder="1"/>
    <xf numFmtId="3" fontId="39" fillId="0" borderId="58" xfId="0" quotePrefix="1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54" xfId="0" quotePrefix="1" applyNumberFormat="1" applyFont="1" applyFill="1" applyBorder="1" applyAlignment="1">
      <alignment horizontal="right"/>
    </xf>
    <xf numFmtId="3" fontId="78" fillId="0" borderId="0" xfId="0" quotePrefix="1" applyNumberFormat="1" applyFont="1" applyFill="1" applyBorder="1" applyAlignment="1">
      <alignment horizontal="right"/>
    </xf>
    <xf numFmtId="0" fontId="39" fillId="0" borderId="18" xfId="0" applyFont="1" applyBorder="1"/>
    <xf numFmtId="3" fontId="39" fillId="0" borderId="59" xfId="0" applyNumberFormat="1" applyFont="1" applyFill="1" applyBorder="1" applyAlignment="1">
      <alignment horizontal="right"/>
    </xf>
    <xf numFmtId="0" fontId="39" fillId="0" borderId="26" xfId="0" applyFont="1" applyBorder="1"/>
    <xf numFmtId="3" fontId="39" fillId="0" borderId="58" xfId="0" applyNumberFormat="1" applyFont="1" applyFill="1" applyBorder="1" applyAlignment="1">
      <alignment horizontal="right"/>
    </xf>
    <xf numFmtId="0" fontId="39" fillId="0" borderId="19" xfId="0" applyFont="1" applyBorder="1"/>
    <xf numFmtId="3" fontId="39" fillId="0" borderId="28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79"/>
    <xf numFmtId="0" fontId="13" fillId="0" borderId="0" xfId="79" applyFont="1" applyAlignment="1">
      <alignment horizontal="right"/>
    </xf>
    <xf numFmtId="0" fontId="14" fillId="0" borderId="78" xfId="79" applyFont="1" applyBorder="1" applyAlignment="1">
      <alignment horizontal="center"/>
    </xf>
    <xf numFmtId="0" fontId="86" fillId="0" borderId="133" xfId="79" applyFont="1" applyBorder="1" applyAlignment="1">
      <alignment horizontal="center" vertical="center"/>
    </xf>
    <xf numFmtId="3" fontId="86" fillId="0" borderId="133" xfId="79" applyNumberFormat="1" applyFont="1" applyBorder="1" applyAlignment="1"/>
    <xf numFmtId="0" fontId="86" fillId="0" borderId="69" xfId="79" applyFont="1" applyBorder="1" applyAlignment="1">
      <alignment horizontal="center" vertical="center"/>
    </xf>
    <xf numFmtId="0" fontId="86" fillId="0" borderId="0" xfId="79" applyFont="1" applyBorder="1" applyAlignment="1">
      <alignment wrapText="1"/>
    </xf>
    <xf numFmtId="3" fontId="86" fillId="0" borderId="69" xfId="79" applyNumberFormat="1" applyFont="1" applyBorder="1" applyAlignment="1"/>
    <xf numFmtId="0" fontId="86" fillId="0" borderId="91" xfId="79" applyFont="1" applyBorder="1" applyAlignment="1">
      <alignment horizontal="center" vertical="center"/>
    </xf>
    <xf numFmtId="0" fontId="86" fillId="0" borderId="108" xfId="79" applyFont="1" applyBorder="1" applyAlignment="1">
      <alignment wrapText="1"/>
    </xf>
    <xf numFmtId="3" fontId="86" fillId="0" borderId="91" xfId="79" applyNumberFormat="1" applyFont="1" applyBorder="1"/>
    <xf numFmtId="0" fontId="86" fillId="0" borderId="0" xfId="79" applyFont="1" applyBorder="1"/>
    <xf numFmtId="3" fontId="86" fillId="0" borderId="69" xfId="79" applyNumberFormat="1" applyFont="1" applyBorder="1"/>
    <xf numFmtId="49" fontId="86" fillId="0" borderId="0" xfId="79" applyNumberFormat="1" applyFont="1" applyBorder="1"/>
    <xf numFmtId="0" fontId="86" fillId="0" borderId="79" xfId="79" applyFont="1" applyBorder="1" applyAlignment="1">
      <alignment horizontal="center" vertical="center"/>
    </xf>
    <xf numFmtId="0" fontId="86" fillId="0" borderId="24" xfId="79" applyFont="1" applyBorder="1" applyAlignment="1">
      <alignment wrapText="1"/>
    </xf>
    <xf numFmtId="3" fontId="86" fillId="0" borderId="79" xfId="79" applyNumberFormat="1" applyFont="1" applyFill="1" applyBorder="1"/>
    <xf numFmtId="3" fontId="86" fillId="0" borderId="79" xfId="79" applyNumberFormat="1" applyFont="1" applyBorder="1"/>
    <xf numFmtId="0" fontId="86" fillId="0" borderId="70" xfId="79" applyFont="1" applyBorder="1"/>
    <xf numFmtId="0" fontId="14" fillId="0" borderId="16" xfId="79" applyFont="1" applyBorder="1"/>
    <xf numFmtId="3" fontId="14" fillId="0" borderId="70" xfId="79" applyNumberFormat="1" applyFont="1" applyBorder="1"/>
    <xf numFmtId="0" fontId="87" fillId="0" borderId="0" xfId="79" applyFont="1"/>
    <xf numFmtId="0" fontId="88" fillId="0" borderId="0" xfId="89" applyFont="1"/>
    <xf numFmtId="0" fontId="13" fillId="0" borderId="0" xfId="79" applyFont="1"/>
    <xf numFmtId="0" fontId="2" fillId="0" borderId="0" xfId="79" applyFill="1"/>
    <xf numFmtId="0" fontId="86" fillId="0" borderId="0" xfId="89" applyFont="1" applyAlignment="1">
      <alignment wrapText="1"/>
    </xf>
    <xf numFmtId="0" fontId="8" fillId="0" borderId="0" xfId="89" applyFont="1"/>
    <xf numFmtId="0" fontId="86" fillId="0" borderId="0" xfId="89" applyFont="1"/>
    <xf numFmtId="0" fontId="86" fillId="0" borderId="0" xfId="78" applyFont="1" applyFill="1"/>
    <xf numFmtId="0" fontId="89" fillId="0" borderId="0" xfId="78" applyFont="1" applyFill="1"/>
    <xf numFmtId="3" fontId="86" fillId="0" borderId="0" xfId="78" applyNumberFormat="1" applyFont="1" applyFill="1" applyAlignment="1">
      <alignment horizontal="right"/>
    </xf>
    <xf numFmtId="0" fontId="86" fillId="0" borderId="0" xfId="79" applyFont="1" applyAlignment="1">
      <alignment horizontal="right"/>
    </xf>
    <xf numFmtId="0" fontId="3" fillId="0" borderId="45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4" fillId="0" borderId="19" xfId="78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85" xfId="0" applyFont="1" applyFill="1" applyBorder="1" applyAlignment="1">
      <alignment horizontal="center"/>
    </xf>
    <xf numFmtId="0" fontId="90" fillId="0" borderId="129" xfId="78" applyFont="1" applyFill="1" applyBorder="1" applyAlignment="1">
      <alignment horizontal="center"/>
    </xf>
    <xf numFmtId="0" fontId="3" fillId="0" borderId="135" xfId="0" applyFont="1" applyFill="1" applyBorder="1" applyAlignment="1">
      <alignment horizontal="center"/>
    </xf>
    <xf numFmtId="0" fontId="3" fillId="0" borderId="130" xfId="0" applyFont="1" applyFill="1" applyBorder="1" applyAlignment="1">
      <alignment horizontal="center"/>
    </xf>
    <xf numFmtId="0" fontId="90" fillId="0" borderId="26" xfId="78" applyFont="1" applyFill="1" applyBorder="1" applyAlignment="1">
      <alignment horizontal="center"/>
    </xf>
    <xf numFmtId="3" fontId="4" fillId="0" borderId="49" xfId="0" applyNumberFormat="1" applyFont="1" applyFill="1" applyBorder="1" applyProtection="1"/>
    <xf numFmtId="3" fontId="4" fillId="0" borderId="58" xfId="78" applyNumberFormat="1" applyFont="1" applyFill="1" applyBorder="1" applyAlignment="1">
      <alignment horizontal="right"/>
    </xf>
    <xf numFmtId="0" fontId="3" fillId="0" borderId="17" xfId="78" applyFont="1" applyFill="1" applyBorder="1" applyAlignment="1">
      <alignment horizontal="center"/>
    </xf>
    <xf numFmtId="3" fontId="3" fillId="0" borderId="44" xfId="78" applyNumberFormat="1" applyFont="1" applyFill="1" applyBorder="1"/>
    <xf numFmtId="0" fontId="3" fillId="0" borderId="129" xfId="78" applyFont="1" applyFill="1" applyBorder="1" applyAlignment="1">
      <alignment horizontal="center"/>
    </xf>
    <xf numFmtId="0" fontId="3" fillId="0" borderId="131" xfId="0" applyFont="1" applyFill="1" applyBorder="1" applyAlignment="1">
      <alignment horizontal="center"/>
    </xf>
    <xf numFmtId="0" fontId="3" fillId="0" borderId="13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3" fontId="14" fillId="0" borderId="43" xfId="78" applyNumberFormat="1" applyFont="1" applyFill="1" applyBorder="1" applyAlignment="1">
      <alignment horizontal="right"/>
    </xf>
    <xf numFmtId="2" fontId="4" fillId="0" borderId="0" xfId="78" applyNumberFormat="1" applyFont="1" applyBorder="1"/>
    <xf numFmtId="0" fontId="86" fillId="0" borderId="0" xfId="78" applyFont="1" applyFill="1" applyBorder="1"/>
    <xf numFmtId="3" fontId="86" fillId="0" borderId="0" xfId="78" applyNumberFormat="1" applyFont="1" applyFill="1"/>
    <xf numFmtId="0" fontId="20" fillId="0" borderId="0" xfId="90" applyFont="1"/>
    <xf numFmtId="0" fontId="17" fillId="0" borderId="16" xfId="90" applyFont="1" applyBorder="1" applyAlignment="1">
      <alignment horizontal="center"/>
    </xf>
    <xf numFmtId="0" fontId="16" fillId="0" borderId="0" xfId="90" applyFont="1"/>
    <xf numFmtId="0" fontId="3" fillId="0" borderId="53" xfId="78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78" applyFont="1" applyFill="1" applyBorder="1" applyAlignment="1">
      <alignment horizontal="right"/>
    </xf>
    <xf numFmtId="0" fontId="3" fillId="0" borderId="0" xfId="78" applyFont="1" applyFill="1" applyBorder="1"/>
    <xf numFmtId="3" fontId="4" fillId="0" borderId="18" xfId="78" applyNumberFormat="1" applyFont="1" applyFill="1" applyBorder="1" applyAlignment="1">
      <alignment horizontal="right"/>
    </xf>
    <xf numFmtId="3" fontId="4" fillId="0" borderId="87" xfId="78" applyNumberFormat="1" applyFont="1" applyFill="1" applyBorder="1" applyAlignment="1">
      <alignment horizontal="right"/>
    </xf>
    <xf numFmtId="0" fontId="4" fillId="0" borderId="17" xfId="78" applyFont="1" applyFill="1" applyBorder="1" applyAlignment="1">
      <alignment horizontal="right"/>
    </xf>
    <xf numFmtId="0" fontId="3" fillId="0" borderId="22" xfId="78" applyFont="1" applyFill="1" applyBorder="1" applyAlignment="1">
      <alignment horizontal="right"/>
    </xf>
    <xf numFmtId="3" fontId="3" fillId="0" borderId="17" xfId="78" applyNumberFormat="1" applyFont="1" applyFill="1" applyBorder="1" applyAlignment="1">
      <alignment horizontal="right"/>
    </xf>
    <xf numFmtId="3" fontId="3" fillId="0" borderId="22" xfId="78" applyNumberFormat="1" applyFont="1" applyFill="1" applyBorder="1" applyAlignment="1">
      <alignment horizontal="right"/>
    </xf>
    <xf numFmtId="3" fontId="3" fillId="0" borderId="81" xfId="78" applyNumberFormat="1" applyFont="1" applyFill="1" applyBorder="1" applyAlignment="1">
      <alignment horizontal="right"/>
    </xf>
    <xf numFmtId="3" fontId="4" fillId="0" borderId="23" xfId="78" applyNumberFormat="1" applyFont="1" applyFill="1" applyBorder="1" applyAlignment="1">
      <alignment horizontal="center"/>
    </xf>
    <xf numFmtId="3" fontId="4" fillId="0" borderId="45" xfId="78" applyNumberFormat="1" applyFont="1" applyFill="1" applyBorder="1" applyAlignment="1">
      <alignment horizontal="center"/>
    </xf>
    <xf numFmtId="3" fontId="4" fillId="0" borderId="46" xfId="78" applyNumberFormat="1" applyFont="1" applyFill="1" applyBorder="1" applyAlignment="1">
      <alignment horizontal="center"/>
    </xf>
    <xf numFmtId="3" fontId="4" fillId="0" borderId="53" xfId="78" applyNumberFormat="1" applyFont="1" applyFill="1" applyBorder="1" applyAlignment="1">
      <alignment horizontal="right"/>
    </xf>
    <xf numFmtId="3" fontId="4" fillId="0" borderId="41" xfId="78" applyNumberFormat="1" applyFont="1" applyFill="1" applyBorder="1" applyAlignment="1">
      <alignment horizontal="right"/>
    </xf>
    <xf numFmtId="3" fontId="4" fillId="0" borderId="64" xfId="78" applyNumberFormat="1" applyFont="1" applyFill="1" applyBorder="1" applyAlignment="1">
      <alignment horizontal="right"/>
    </xf>
    <xf numFmtId="3" fontId="4" fillId="0" borderId="98" xfId="78" applyNumberFormat="1" applyFont="1" applyFill="1" applyBorder="1" applyAlignment="1">
      <alignment horizontal="right"/>
    </xf>
    <xf numFmtId="3" fontId="4" fillId="0" borderId="128" xfId="78" applyNumberFormat="1" applyFont="1" applyFill="1" applyBorder="1" applyAlignment="1">
      <alignment horizontal="right"/>
    </xf>
    <xf numFmtId="0" fontId="40" fillId="0" borderId="50" xfId="78" applyFont="1" applyFill="1" applyBorder="1" applyAlignment="1">
      <alignment horizontal="justify"/>
    </xf>
    <xf numFmtId="0" fontId="3" fillId="0" borderId="17" xfId="78" applyFont="1" applyFill="1" applyBorder="1" applyAlignment="1">
      <alignment horizontal="right"/>
    </xf>
    <xf numFmtId="0" fontId="3" fillId="0" borderId="23" xfId="78" applyFont="1" applyFill="1" applyBorder="1" applyAlignment="1">
      <alignment horizontal="right"/>
    </xf>
    <xf numFmtId="0" fontId="3" fillId="0" borderId="137" xfId="78" applyFont="1" applyBorder="1"/>
    <xf numFmtId="3" fontId="4" fillId="0" borderId="18" xfId="78" applyNumberFormat="1" applyFont="1" applyFill="1" applyBorder="1" applyAlignment="1">
      <alignment horizontal="center"/>
    </xf>
    <xf numFmtId="3" fontId="4" fillId="0" borderId="0" xfId="78" applyNumberFormat="1" applyFont="1" applyFill="1" applyBorder="1" applyAlignment="1">
      <alignment horizontal="center"/>
    </xf>
    <xf numFmtId="0" fontId="40" fillId="0" borderId="86" xfId="78" applyFont="1" applyFill="1" applyBorder="1" applyAlignment="1"/>
    <xf numFmtId="0" fontId="3" fillId="0" borderId="81" xfId="78" applyFont="1" applyBorder="1" applyAlignment="1">
      <alignment horizontal="right"/>
    </xf>
    <xf numFmtId="0" fontId="40" fillId="0" borderId="50" xfId="78" applyFont="1" applyFill="1" applyBorder="1"/>
    <xf numFmtId="0" fontId="3" fillId="0" borderId="122" xfId="78" applyFont="1" applyFill="1" applyBorder="1"/>
    <xf numFmtId="3" fontId="4" fillId="0" borderId="112" xfId="78" applyNumberFormat="1" applyFont="1" applyFill="1" applyBorder="1" applyAlignment="1">
      <alignment horizontal="center"/>
    </xf>
    <xf numFmtId="3" fontId="4" fillId="0" borderId="121" xfId="78" applyNumberFormat="1" applyFont="1" applyFill="1" applyBorder="1" applyAlignment="1">
      <alignment horizontal="center"/>
    </xf>
    <xf numFmtId="3" fontId="4" fillId="0" borderId="122" xfId="78" applyNumberFormat="1" applyFont="1" applyFill="1" applyBorder="1" applyAlignment="1">
      <alignment horizontal="center"/>
    </xf>
    <xf numFmtId="3" fontId="4" fillId="0" borderId="121" xfId="78" applyNumberFormat="1" applyFont="1" applyFill="1" applyBorder="1" applyAlignment="1">
      <alignment horizontal="right"/>
    </xf>
    <xf numFmtId="3" fontId="4" fillId="0" borderId="137" xfId="78" applyNumberFormat="1" applyFont="1" applyFill="1" applyBorder="1" applyAlignment="1">
      <alignment horizontal="right"/>
    </xf>
    <xf numFmtId="3" fontId="4" fillId="0" borderId="101" xfId="78" applyNumberFormat="1" applyFont="1" applyFill="1" applyBorder="1" applyAlignment="1">
      <alignment horizontal="right"/>
    </xf>
    <xf numFmtId="3" fontId="4" fillId="0" borderId="104" xfId="78" applyNumberFormat="1" applyFont="1" applyFill="1" applyBorder="1" applyAlignment="1">
      <alignment horizontal="right"/>
    </xf>
    <xf numFmtId="3" fontId="4" fillId="0" borderId="93" xfId="78" applyNumberFormat="1" applyFont="1" applyFill="1" applyBorder="1" applyAlignment="1">
      <alignment horizontal="right"/>
    </xf>
    <xf numFmtId="3" fontId="4" fillId="0" borderId="103" xfId="78" applyNumberFormat="1" applyFont="1" applyFill="1" applyBorder="1" applyAlignment="1">
      <alignment horizontal="right"/>
    </xf>
    <xf numFmtId="0" fontId="4" fillId="0" borderId="26" xfId="78" applyFont="1" applyFill="1" applyBorder="1" applyAlignment="1">
      <alignment horizontal="right"/>
    </xf>
    <xf numFmtId="3" fontId="40" fillId="0" borderId="90" xfId="0" applyNumberFormat="1" applyFont="1" applyFill="1" applyBorder="1" applyAlignment="1">
      <alignment horizontal="justify"/>
    </xf>
    <xf numFmtId="0" fontId="3" fillId="0" borderId="81" xfId="78" applyFont="1" applyFill="1" applyBorder="1" applyAlignment="1">
      <alignment horizontal="right"/>
    </xf>
    <xf numFmtId="0" fontId="4" fillId="0" borderId="20" xfId="78" applyFont="1" applyFill="1" applyBorder="1" applyAlignment="1">
      <alignment horizontal="right"/>
    </xf>
    <xf numFmtId="0" fontId="3" fillId="0" borderId="96" xfId="78" applyFont="1" applyFill="1" applyBorder="1"/>
    <xf numFmtId="3" fontId="3" fillId="0" borderId="20" xfId="78" applyNumberFormat="1" applyFont="1" applyFill="1" applyBorder="1"/>
    <xf numFmtId="0" fontId="4" fillId="0" borderId="0" xfId="78" applyFont="1" applyFill="1" applyBorder="1" applyAlignment="1">
      <alignment horizontal="right"/>
    </xf>
    <xf numFmtId="0" fontId="71" fillId="0" borderId="0" xfId="78" applyFont="1" applyFill="1"/>
    <xf numFmtId="0" fontId="40" fillId="0" borderId="0" xfId="78" applyFont="1" applyFill="1"/>
    <xf numFmtId="3" fontId="40" fillId="0" borderId="0" xfId="78" applyNumberFormat="1" applyFont="1" applyFill="1"/>
    <xf numFmtId="0" fontId="16" fillId="0" borderId="0" xfId="91" applyFont="1"/>
    <xf numFmtId="0" fontId="17" fillId="0" borderId="0" xfId="0" applyFont="1" applyAlignment="1">
      <alignment horizontal="center"/>
    </xf>
    <xf numFmtId="0" fontId="7" fillId="0" borderId="0" xfId="91" applyFont="1"/>
    <xf numFmtId="0" fontId="20" fillId="0" borderId="16" xfId="91" applyFont="1" applyBorder="1" applyAlignment="1">
      <alignment horizontal="center"/>
    </xf>
    <xf numFmtId="0" fontId="20" fillId="0" borderId="23" xfId="91" applyFont="1" applyBorder="1" applyAlignment="1">
      <alignment horizontal="center"/>
    </xf>
    <xf numFmtId="0" fontId="20" fillId="0" borderId="84" xfId="91" applyFont="1" applyBorder="1"/>
    <xf numFmtId="49" fontId="20" fillId="0" borderId="84" xfId="91" applyNumberFormat="1" applyFont="1" applyBorder="1" applyAlignment="1">
      <alignment horizontal="center"/>
    </xf>
    <xf numFmtId="0" fontId="20" fillId="0" borderId="18" xfId="91" applyFont="1" applyBorder="1" applyAlignment="1">
      <alignment horizontal="center"/>
    </xf>
    <xf numFmtId="0" fontId="20" fillId="0" borderId="87" xfId="91" applyFont="1" applyBorder="1" applyAlignment="1">
      <alignment horizontal="center"/>
    </xf>
    <xf numFmtId="0" fontId="20" fillId="0" borderId="69" xfId="91" applyFont="1" applyBorder="1"/>
    <xf numFmtId="2" fontId="20" fillId="0" borderId="69" xfId="91" applyNumberFormat="1" applyFont="1" applyBorder="1" applyAlignment="1">
      <alignment horizontal="center"/>
    </xf>
    <xf numFmtId="0" fontId="20" fillId="0" borderId="19" xfId="91" applyFont="1" applyBorder="1" applyAlignment="1">
      <alignment horizontal="center"/>
    </xf>
    <xf numFmtId="0" fontId="20" fillId="0" borderId="85" xfId="91" applyFont="1" applyBorder="1" applyAlignment="1">
      <alignment horizontal="center"/>
    </xf>
    <xf numFmtId="0" fontId="20" fillId="0" borderId="70" xfId="91" applyFont="1" applyBorder="1"/>
    <xf numFmtId="49" fontId="20" fillId="0" borderId="70" xfId="91" applyNumberFormat="1" applyFont="1" applyBorder="1" applyAlignment="1">
      <alignment horizontal="center"/>
    </xf>
    <xf numFmtId="49" fontId="20" fillId="0" borderId="87" xfId="91" applyNumberFormat="1" applyFont="1" applyBorder="1" applyAlignment="1">
      <alignment horizontal="center"/>
    </xf>
    <xf numFmtId="3" fontId="7" fillId="0" borderId="18" xfId="91" applyNumberFormat="1" applyFont="1" applyBorder="1" applyAlignment="1">
      <alignment horizontal="center"/>
    </xf>
    <xf numFmtId="0" fontId="7" fillId="0" borderId="18" xfId="91" applyFont="1" applyBorder="1"/>
    <xf numFmtId="0" fontId="7" fillId="0" borderId="87" xfId="91" applyFont="1" applyBorder="1"/>
    <xf numFmtId="0" fontId="7" fillId="0" borderId="69" xfId="91" applyFont="1" applyBorder="1"/>
    <xf numFmtId="3" fontId="7" fillId="0" borderId="69" xfId="91" applyNumberFormat="1" applyFont="1" applyBorder="1"/>
    <xf numFmtId="3" fontId="7" fillId="0" borderId="59" xfId="91" applyNumberFormat="1" applyFont="1" applyBorder="1"/>
    <xf numFmtId="3" fontId="20" fillId="0" borderId="26" xfId="91" applyNumberFormat="1" applyFont="1" applyBorder="1" applyAlignment="1">
      <alignment horizontal="center"/>
    </xf>
    <xf numFmtId="0" fontId="20" fillId="0" borderId="26" xfId="91" applyFont="1" applyBorder="1"/>
    <xf numFmtId="0" fontId="20" fillId="0" borderId="90" xfId="91" applyFont="1" applyBorder="1"/>
    <xf numFmtId="0" fontId="20" fillId="0" borderId="79" xfId="91" applyFont="1" applyBorder="1"/>
    <xf numFmtId="3" fontId="20" fillId="0" borderId="79" xfId="91" applyNumberFormat="1" applyFont="1" applyBorder="1"/>
    <xf numFmtId="3" fontId="20" fillId="0" borderId="58" xfId="91" applyNumberFormat="1" applyFont="1" applyBorder="1"/>
    <xf numFmtId="3" fontId="20" fillId="0" borderId="18" xfId="91" applyNumberFormat="1" applyFont="1" applyBorder="1" applyAlignment="1">
      <alignment horizontal="center"/>
    </xf>
    <xf numFmtId="0" fontId="20" fillId="0" borderId="18" xfId="91" applyFont="1" applyBorder="1"/>
    <xf numFmtId="0" fontId="20" fillId="0" borderId="87" xfId="91" applyFont="1" applyBorder="1"/>
    <xf numFmtId="3" fontId="20" fillId="0" borderId="69" xfId="91" applyNumberFormat="1" applyFont="1" applyBorder="1"/>
    <xf numFmtId="3" fontId="20" fillId="0" borderId="59" xfId="91" applyNumberFormat="1" applyFont="1" applyBorder="1"/>
    <xf numFmtId="0" fontId="39" fillId="0" borderId="18" xfId="91" applyFont="1" applyBorder="1"/>
    <xf numFmtId="3" fontId="20" fillId="0" borderId="17" xfId="91" applyNumberFormat="1" applyFont="1" applyBorder="1" applyAlignment="1">
      <alignment horizontal="center"/>
    </xf>
    <xf numFmtId="0" fontId="20" fillId="0" borderId="17" xfId="91" applyFont="1" applyBorder="1"/>
    <xf numFmtId="0" fontId="20" fillId="0" borderId="81" xfId="91" applyFont="1" applyBorder="1"/>
    <xf numFmtId="0" fontId="20" fillId="0" borderId="77" xfId="91" applyFont="1" applyBorder="1"/>
    <xf numFmtId="3" fontId="20" fillId="0" borderId="77" xfId="91" applyNumberFormat="1" applyFont="1" applyBorder="1"/>
    <xf numFmtId="3" fontId="20" fillId="0" borderId="54" xfId="91" applyNumberFormat="1" applyFont="1" applyBorder="1"/>
    <xf numFmtId="3" fontId="20" fillId="0" borderId="84" xfId="91" applyNumberFormat="1" applyFont="1" applyBorder="1"/>
    <xf numFmtId="3" fontId="20" fillId="0" borderId="87" xfId="91" applyNumberFormat="1" applyFont="1" applyBorder="1"/>
    <xf numFmtId="3" fontId="20" fillId="0" borderId="57" xfId="91" applyNumberFormat="1" applyFont="1" applyBorder="1" applyAlignment="1">
      <alignment horizontal="center"/>
    </xf>
    <xf numFmtId="0" fontId="20" fillId="0" borderId="91" xfId="91" applyFont="1" applyBorder="1"/>
    <xf numFmtId="3" fontId="20" fillId="0" borderId="56" xfId="91" applyNumberFormat="1" applyFont="1" applyBorder="1"/>
    <xf numFmtId="3" fontId="20" fillId="0" borderId="23" xfId="91" applyNumberFormat="1" applyFont="1" applyBorder="1" applyAlignment="1">
      <alignment horizontal="center"/>
    </xf>
    <xf numFmtId="0" fontId="20" fillId="0" borderId="23" xfId="91" applyFont="1" applyBorder="1"/>
    <xf numFmtId="0" fontId="20" fillId="0" borderId="53" xfId="91" applyFont="1" applyBorder="1"/>
    <xf numFmtId="3" fontId="7" fillId="0" borderId="19" xfId="91" applyNumberFormat="1" applyFont="1" applyBorder="1" applyAlignment="1">
      <alignment horizontal="center"/>
    </xf>
    <xf numFmtId="0" fontId="7" fillId="0" borderId="19" xfId="91" applyFont="1" applyBorder="1"/>
    <xf numFmtId="0" fontId="7" fillId="0" borderId="85" xfId="91" applyFont="1" applyBorder="1"/>
    <xf numFmtId="0" fontId="7" fillId="0" borderId="70" xfId="91" applyFont="1" applyBorder="1"/>
    <xf numFmtId="3" fontId="7" fillId="0" borderId="70" xfId="91" applyNumberFormat="1" applyFont="1" applyBorder="1"/>
    <xf numFmtId="3" fontId="93" fillId="0" borderId="18" xfId="91" applyNumberFormat="1" applyFont="1" applyBorder="1" applyAlignment="1">
      <alignment horizontal="center"/>
    </xf>
    <xf numFmtId="0" fontId="93" fillId="0" borderId="69" xfId="91" applyFont="1" applyBorder="1"/>
    <xf numFmtId="3" fontId="93" fillId="0" borderId="59" xfId="91" applyNumberFormat="1" applyFont="1" applyBorder="1"/>
    <xf numFmtId="0" fontId="20" fillId="0" borderId="53" xfId="91" applyFont="1" applyBorder="1" applyAlignment="1">
      <alignment horizontal="center"/>
    </xf>
    <xf numFmtId="3" fontId="7" fillId="0" borderId="119" xfId="91" applyNumberFormat="1" applyFont="1" applyBorder="1" applyAlignment="1">
      <alignment horizontal="center"/>
    </xf>
    <xf numFmtId="3" fontId="20" fillId="0" borderId="19" xfId="91" applyNumberFormat="1" applyFont="1" applyBorder="1" applyAlignment="1">
      <alignment horizontal="center"/>
    </xf>
    <xf numFmtId="3" fontId="93" fillId="0" borderId="20" xfId="91" applyNumberFormat="1" applyFont="1" applyBorder="1" applyAlignment="1">
      <alignment horizontal="center"/>
    </xf>
    <xf numFmtId="0" fontId="93" fillId="0" borderId="78" xfId="91" applyFont="1" applyBorder="1"/>
    <xf numFmtId="3" fontId="93" fillId="0" borderId="60" xfId="91" applyNumberFormat="1" applyFont="1" applyBorder="1"/>
    <xf numFmtId="3" fontId="93" fillId="0" borderId="0" xfId="91" applyNumberFormat="1" applyFont="1" applyBorder="1" applyAlignment="1">
      <alignment horizontal="center"/>
    </xf>
    <xf numFmtId="0" fontId="93" fillId="0" borderId="0" xfId="91" applyFont="1" applyBorder="1" applyAlignment="1">
      <alignment wrapText="1"/>
    </xf>
    <xf numFmtId="0" fontId="92" fillId="0" borderId="0" xfId="0" applyFont="1" applyBorder="1" applyAlignment="1">
      <alignment wrapText="1"/>
    </xf>
    <xf numFmtId="0" fontId="93" fillId="0" borderId="0" xfId="91" applyFont="1" applyBorder="1"/>
    <xf numFmtId="3" fontId="93" fillId="0" borderId="0" xfId="91" applyNumberFormat="1" applyFont="1" applyBorder="1"/>
    <xf numFmtId="0" fontId="7" fillId="0" borderId="0" xfId="91" applyFont="1" applyBorder="1"/>
    <xf numFmtId="0" fontId="20" fillId="0" borderId="46" xfId="91" applyFont="1" applyBorder="1"/>
    <xf numFmtId="0" fontId="20" fillId="0" borderId="0" xfId="91" applyFont="1" applyBorder="1"/>
    <xf numFmtId="0" fontId="20" fillId="0" borderId="16" xfId="91" applyFont="1" applyBorder="1"/>
    <xf numFmtId="0" fontId="20" fillId="0" borderId="24" xfId="91" applyFont="1" applyBorder="1"/>
    <xf numFmtId="0" fontId="7" fillId="0" borderId="101" xfId="91" applyFont="1" applyBorder="1"/>
    <xf numFmtId="0" fontId="15" fillId="0" borderId="26" xfId="91" applyFont="1" applyBorder="1"/>
    <xf numFmtId="0" fontId="93" fillId="0" borderId="96" xfId="91" applyFont="1" applyBorder="1"/>
    <xf numFmtId="0" fontId="15" fillId="0" borderId="18" xfId="91" applyFont="1" applyBorder="1"/>
    <xf numFmtId="0" fontId="93" fillId="0" borderId="18" xfId="91" applyFont="1" applyBorder="1" applyAlignment="1">
      <alignment wrapText="1"/>
    </xf>
    <xf numFmtId="0" fontId="92" fillId="0" borderId="87" xfId="0" applyFont="1" applyBorder="1" applyAlignment="1">
      <alignment wrapText="1"/>
    </xf>
    <xf numFmtId="0" fontId="16" fillId="0" borderId="0" xfId="91" applyFont="1" applyAlignment="1">
      <alignment horizontal="center"/>
    </xf>
    <xf numFmtId="0" fontId="95" fillId="0" borderId="0" xfId="91" applyFont="1"/>
    <xf numFmtId="0" fontId="95" fillId="0" borderId="0" xfId="91" applyFont="1" applyAlignment="1">
      <alignment horizontal="center"/>
    </xf>
    <xf numFmtId="0" fontId="96" fillId="0" borderId="0" xfId="91" applyFont="1" applyBorder="1" applyAlignment="1">
      <alignment horizontal="center"/>
    </xf>
    <xf numFmtId="0" fontId="86" fillId="0" borderId="0" xfId="0" applyFont="1" applyAlignment="1">
      <alignment horizontal="right"/>
    </xf>
    <xf numFmtId="0" fontId="96" fillId="0" borderId="23" xfId="91" applyFont="1" applyBorder="1" applyAlignment="1">
      <alignment horizontal="center"/>
    </xf>
    <xf numFmtId="0" fontId="96" fillId="0" borderId="46" xfId="91" applyFont="1" applyBorder="1"/>
    <xf numFmtId="49" fontId="96" fillId="0" borderId="84" xfId="91" applyNumberFormat="1" applyFont="1" applyBorder="1" applyAlignment="1">
      <alignment horizontal="center"/>
    </xf>
    <xf numFmtId="0" fontId="96" fillId="0" borderId="18" xfId="91" applyFont="1" applyBorder="1" applyAlignment="1">
      <alignment horizontal="center"/>
    </xf>
    <xf numFmtId="0" fontId="96" fillId="0" borderId="87" xfId="91" applyFont="1" applyBorder="1" applyAlignment="1">
      <alignment horizontal="center"/>
    </xf>
    <xf numFmtId="0" fontId="96" fillId="0" borderId="0" xfId="91" applyFont="1" applyBorder="1"/>
    <xf numFmtId="2" fontId="96" fillId="0" borderId="69" xfId="91" applyNumberFormat="1" applyFont="1" applyBorder="1" applyAlignment="1">
      <alignment horizontal="center"/>
    </xf>
    <xf numFmtId="0" fontId="96" fillId="0" borderId="19" xfId="91" applyFont="1" applyBorder="1" applyAlignment="1">
      <alignment horizontal="center"/>
    </xf>
    <xf numFmtId="0" fontId="96" fillId="0" borderId="85" xfId="91" applyFont="1" applyBorder="1" applyAlignment="1">
      <alignment horizontal="center"/>
    </xf>
    <xf numFmtId="0" fontId="96" fillId="0" borderId="16" xfId="91" applyFont="1" applyBorder="1"/>
    <xf numFmtId="49" fontId="96" fillId="0" borderId="70" xfId="91" applyNumberFormat="1" applyFont="1" applyBorder="1" applyAlignment="1">
      <alignment horizontal="center"/>
    </xf>
    <xf numFmtId="3" fontId="96" fillId="0" borderId="18" xfId="91" applyNumberFormat="1" applyFont="1" applyBorder="1" applyAlignment="1">
      <alignment horizontal="center"/>
    </xf>
    <xf numFmtId="0" fontId="96" fillId="0" borderId="18" xfId="91" applyFont="1" applyBorder="1"/>
    <xf numFmtId="0" fontId="96" fillId="0" borderId="87" xfId="91" applyFont="1" applyBorder="1"/>
    <xf numFmtId="3" fontId="96" fillId="0" borderId="59" xfId="91" applyNumberFormat="1" applyFont="1" applyBorder="1"/>
    <xf numFmtId="3" fontId="95" fillId="0" borderId="18" xfId="91" applyNumberFormat="1" applyFont="1" applyBorder="1" applyAlignment="1">
      <alignment horizontal="center"/>
    </xf>
    <xf numFmtId="0" fontId="95" fillId="0" borderId="18" xfId="91" applyFont="1" applyBorder="1"/>
    <xf numFmtId="0" fontId="95" fillId="0" borderId="87" xfId="91" applyFont="1" applyBorder="1"/>
    <xf numFmtId="0" fontId="95" fillId="0" borderId="0" xfId="91" applyFont="1" applyBorder="1"/>
    <xf numFmtId="3" fontId="95" fillId="0" borderId="59" xfId="91" applyNumberFormat="1" applyFont="1" applyBorder="1"/>
    <xf numFmtId="3" fontId="96" fillId="0" borderId="26" xfId="91" applyNumberFormat="1" applyFont="1" applyBorder="1" applyAlignment="1">
      <alignment horizontal="center"/>
    </xf>
    <xf numFmtId="0" fontId="98" fillId="0" borderId="26" xfId="91" applyFont="1" applyBorder="1"/>
    <xf numFmtId="0" fontId="96" fillId="0" borderId="90" xfId="91" applyFont="1" applyBorder="1"/>
    <xf numFmtId="0" fontId="96" fillId="0" borderId="24" xfId="91" applyFont="1" applyBorder="1"/>
    <xf numFmtId="3" fontId="96" fillId="0" borderId="58" xfId="91" applyNumberFormat="1" applyFont="1" applyBorder="1"/>
    <xf numFmtId="0" fontId="95" fillId="0" borderId="101" xfId="91" applyFont="1" applyBorder="1"/>
    <xf numFmtId="0" fontId="98" fillId="0" borderId="18" xfId="91" applyFont="1" applyBorder="1"/>
    <xf numFmtId="3" fontId="99" fillId="0" borderId="20" xfId="91" applyNumberFormat="1" applyFont="1" applyBorder="1" applyAlignment="1">
      <alignment horizontal="center"/>
    </xf>
    <xf numFmtId="0" fontId="99" fillId="0" borderId="96" xfId="91" applyFont="1" applyBorder="1"/>
    <xf numFmtId="3" fontId="99" fillId="0" borderId="60" xfId="91" applyNumberFormat="1" applyFont="1" applyBorder="1"/>
    <xf numFmtId="3" fontId="99" fillId="0" borderId="18" xfId="91" applyNumberFormat="1" applyFont="1" applyBorder="1" applyAlignment="1">
      <alignment horizontal="center"/>
    </xf>
    <xf numFmtId="0" fontId="99" fillId="0" borderId="18" xfId="91" applyFont="1" applyBorder="1" applyAlignment="1">
      <alignment wrapText="1"/>
    </xf>
    <xf numFmtId="0" fontId="97" fillId="0" borderId="87" xfId="0" applyFont="1" applyBorder="1" applyAlignment="1">
      <alignment wrapText="1"/>
    </xf>
    <xf numFmtId="0" fontId="99" fillId="0" borderId="0" xfId="91" applyFont="1" applyBorder="1"/>
    <xf numFmtId="3" fontId="99" fillId="0" borderId="59" xfId="91" applyNumberFormat="1" applyFont="1" applyBorder="1"/>
    <xf numFmtId="3" fontId="95" fillId="0" borderId="0" xfId="91" applyNumberFormat="1" applyFont="1"/>
    <xf numFmtId="0" fontId="4" fillId="0" borderId="0" xfId="92" applyFont="1"/>
    <xf numFmtId="0" fontId="3" fillId="0" borderId="0" xfId="92" applyFont="1"/>
    <xf numFmtId="0" fontId="3" fillId="0" borderId="20" xfId="92" applyFont="1" applyBorder="1" applyAlignment="1">
      <alignment horizontal="centerContinuous"/>
    </xf>
    <xf numFmtId="3" fontId="3" fillId="0" borderId="106" xfId="92" applyNumberFormat="1" applyFont="1" applyBorder="1" applyAlignment="1">
      <alignment horizontal="centerContinuous"/>
    </xf>
    <xf numFmtId="0" fontId="3" fillId="0" borderId="96" xfId="92" applyFont="1" applyBorder="1" applyAlignment="1">
      <alignment horizontal="centerContinuous"/>
    </xf>
    <xf numFmtId="3" fontId="3" fillId="0" borderId="96" xfId="92" applyNumberFormat="1" applyFont="1" applyBorder="1" applyAlignment="1">
      <alignment horizontal="centerContinuous"/>
    </xf>
    <xf numFmtId="3" fontId="3" fillId="0" borderId="82" xfId="92" applyNumberFormat="1" applyFont="1" applyBorder="1" applyAlignment="1">
      <alignment horizontal="justify"/>
    </xf>
    <xf numFmtId="0" fontId="3" fillId="0" borderId="18" xfId="92" applyFont="1" applyBorder="1"/>
    <xf numFmtId="3" fontId="3" fillId="0" borderId="31" xfId="92" applyNumberFormat="1" applyFont="1" applyBorder="1"/>
    <xf numFmtId="0" fontId="3" fillId="0" borderId="0" xfId="92" applyFont="1" applyBorder="1"/>
    <xf numFmtId="3" fontId="3" fillId="0" borderId="0" xfId="92" applyNumberFormat="1" applyFont="1" applyBorder="1"/>
    <xf numFmtId="0" fontId="4" fillId="0" borderId="87" xfId="92" applyFont="1" applyBorder="1"/>
    <xf numFmtId="0" fontId="4" fillId="0" borderId="18" xfId="92" applyFont="1" applyBorder="1"/>
    <xf numFmtId="3" fontId="4" fillId="0" borderId="31" xfId="92" applyNumberFormat="1" applyFont="1" applyBorder="1" applyAlignment="1">
      <alignment horizontal="center"/>
    </xf>
    <xf numFmtId="0" fontId="4" fillId="0" borderId="0" xfId="92" applyFont="1" applyBorder="1"/>
    <xf numFmtId="3" fontId="4" fillId="0" borderId="0" xfId="92" applyNumberFormat="1" applyFont="1" applyBorder="1"/>
    <xf numFmtId="3" fontId="4" fillId="0" borderId="31" xfId="92" applyNumberFormat="1" applyFont="1" applyBorder="1"/>
    <xf numFmtId="0" fontId="3" fillId="0" borderId="17" xfId="92" applyFont="1" applyBorder="1"/>
    <xf numFmtId="3" fontId="3" fillId="0" borderId="88" xfId="92" applyNumberFormat="1" applyFont="1" applyBorder="1" applyAlignment="1">
      <alignment horizontal="center"/>
    </xf>
    <xf numFmtId="0" fontId="3" fillId="0" borderId="22" xfId="92" applyFont="1" applyBorder="1"/>
    <xf numFmtId="3" fontId="3" fillId="0" borderId="22" xfId="92" applyNumberFormat="1" applyFont="1" applyBorder="1"/>
    <xf numFmtId="3" fontId="3" fillId="0" borderId="81" xfId="92" applyNumberFormat="1" applyFont="1" applyBorder="1"/>
    <xf numFmtId="0" fontId="3" fillId="0" borderId="87" xfId="92" applyFont="1" applyBorder="1"/>
    <xf numFmtId="3" fontId="3" fillId="0" borderId="31" xfId="92" applyNumberFormat="1" applyFont="1" applyBorder="1" applyAlignment="1">
      <alignment horizontal="center"/>
    </xf>
    <xf numFmtId="3" fontId="4" fillId="0" borderId="87" xfId="92" applyNumberFormat="1" applyFont="1" applyBorder="1"/>
    <xf numFmtId="3" fontId="4" fillId="0" borderId="0" xfId="92" applyNumberFormat="1" applyFont="1"/>
    <xf numFmtId="3" fontId="3" fillId="0" borderId="0" xfId="92" applyNumberFormat="1" applyFont="1"/>
    <xf numFmtId="0" fontId="4" fillId="0" borderId="47" xfId="92" applyFont="1" applyBorder="1"/>
    <xf numFmtId="3" fontId="4" fillId="0" borderId="31" xfId="92" applyNumberFormat="1" applyFont="1" applyBorder="1" applyAlignment="1">
      <alignment horizontal="right"/>
    </xf>
    <xf numFmtId="0" fontId="4" fillId="0" borderId="18" xfId="92" applyFont="1" applyBorder="1" applyAlignment="1">
      <alignment horizontal="left"/>
    </xf>
    <xf numFmtId="3" fontId="3" fillId="0" borderId="88" xfId="92" applyNumberFormat="1" applyFont="1" applyBorder="1" applyAlignment="1">
      <alignment horizontal="right"/>
    </xf>
    <xf numFmtId="0" fontId="4" fillId="0" borderId="0" xfId="92" applyFont="1" applyBorder="1" applyAlignment="1">
      <alignment horizontal="right"/>
    </xf>
    <xf numFmtId="0" fontId="3" fillId="0" borderId="23" xfId="92" applyFont="1" applyBorder="1"/>
    <xf numFmtId="3" fontId="4" fillId="0" borderId="63" xfId="92" applyNumberFormat="1" applyFont="1" applyBorder="1" applyAlignment="1">
      <alignment horizontal="right"/>
    </xf>
    <xf numFmtId="0" fontId="4" fillId="0" borderId="46" xfId="92" applyFont="1" applyBorder="1"/>
    <xf numFmtId="3" fontId="4" fillId="0" borderId="46" xfId="92" applyNumberFormat="1" applyFont="1" applyBorder="1"/>
    <xf numFmtId="0" fontId="4" fillId="0" borderId="53" xfId="92" applyFont="1" applyBorder="1"/>
    <xf numFmtId="0" fontId="5" fillId="0" borderId="18" xfId="92" applyFont="1" applyBorder="1"/>
    <xf numFmtId="0" fontId="4" fillId="0" borderId="29" xfId="92" applyFont="1" applyBorder="1"/>
    <xf numFmtId="3" fontId="4" fillId="0" borderId="31" xfId="92" applyNumberFormat="1" applyFont="1" applyFill="1" applyBorder="1" applyAlignment="1">
      <alignment horizontal="right"/>
    </xf>
    <xf numFmtId="3" fontId="4" fillId="0" borderId="0" xfId="92" applyNumberFormat="1" applyFont="1" applyFill="1" applyBorder="1"/>
    <xf numFmtId="0" fontId="6" fillId="0" borderId="0" xfId="92" applyFont="1"/>
    <xf numFmtId="0" fontId="4" fillId="0" borderId="0" xfId="92" applyFont="1" applyBorder="1" applyAlignment="1">
      <alignment wrapText="1"/>
    </xf>
    <xf numFmtId="0" fontId="101" fillId="0" borderId="0" xfId="0" applyFont="1"/>
    <xf numFmtId="0" fontId="8" fillId="0" borderId="0" xfId="78" applyFont="1" applyFill="1" applyBorder="1"/>
    <xf numFmtId="3" fontId="4" fillId="0" borderId="46" xfId="92" applyNumberFormat="1" applyFont="1" applyBorder="1" applyAlignment="1">
      <alignment horizontal="right"/>
    </xf>
    <xf numFmtId="3" fontId="3" fillId="0" borderId="53" xfId="92" applyNumberFormat="1" applyFont="1" applyBorder="1"/>
    <xf numFmtId="3" fontId="4" fillId="0" borderId="0" xfId="92" applyNumberFormat="1" applyFont="1" applyFill="1" applyBorder="1" applyAlignment="1">
      <alignment horizontal="right"/>
    </xf>
    <xf numFmtId="3" fontId="3" fillId="0" borderId="87" xfId="92" applyNumberFormat="1" applyFont="1" applyBorder="1"/>
    <xf numFmtId="3" fontId="4" fillId="0" borderId="0" xfId="92" applyNumberFormat="1" applyFont="1" applyBorder="1" applyAlignment="1">
      <alignment horizontal="right"/>
    </xf>
    <xf numFmtId="0" fontId="5" fillId="0" borderId="101" xfId="92" applyFont="1" applyBorder="1"/>
    <xf numFmtId="3" fontId="4" fillId="0" borderId="93" xfId="92" applyNumberFormat="1" applyFont="1" applyBorder="1" applyAlignment="1">
      <alignment horizontal="right"/>
    </xf>
    <xf numFmtId="0" fontId="3" fillId="0" borderId="93" xfId="78" applyFont="1" applyFill="1" applyBorder="1"/>
    <xf numFmtId="3" fontId="3" fillId="0" borderId="93" xfId="92" applyNumberFormat="1" applyFont="1" applyBorder="1"/>
    <xf numFmtId="3" fontId="3" fillId="0" borderId="103" xfId="92" applyNumberFormat="1" applyFont="1" applyBorder="1"/>
    <xf numFmtId="0" fontId="3" fillId="0" borderId="19" xfId="92" applyFont="1" applyBorder="1"/>
    <xf numFmtId="3" fontId="3" fillId="0" borderId="16" xfId="92" applyNumberFormat="1" applyFont="1" applyBorder="1" applyAlignment="1">
      <alignment horizontal="right"/>
    </xf>
    <xf numFmtId="0" fontId="3" fillId="0" borderId="16" xfId="92" applyFont="1" applyBorder="1"/>
    <xf numFmtId="3" fontId="3" fillId="0" borderId="16" xfId="92" applyNumberFormat="1" applyFont="1" applyBorder="1"/>
    <xf numFmtId="3" fontId="3" fillId="0" borderId="85" xfId="92" applyNumberFormat="1" applyFont="1" applyBorder="1"/>
    <xf numFmtId="0" fontId="4" fillId="0" borderId="0" xfId="92" applyFont="1" applyFill="1" applyBorder="1" applyAlignment="1">
      <alignment wrapText="1"/>
    </xf>
    <xf numFmtId="0" fontId="4" fillId="0" borderId="0" xfId="92" applyFont="1" applyFill="1" applyBorder="1"/>
    <xf numFmtId="3" fontId="4" fillId="0" borderId="93" xfId="92" applyNumberFormat="1" applyFont="1" applyFill="1" applyBorder="1" applyAlignment="1">
      <alignment horizontal="right"/>
    </xf>
    <xf numFmtId="3" fontId="3" fillId="0" borderId="93" xfId="92" applyNumberFormat="1" applyFont="1" applyFill="1" applyBorder="1"/>
    <xf numFmtId="3" fontId="3" fillId="0" borderId="16" xfId="92" applyNumberFormat="1" applyFont="1" applyFill="1" applyBorder="1" applyAlignment="1">
      <alignment horizontal="right"/>
    </xf>
    <xf numFmtId="0" fontId="3" fillId="0" borderId="16" xfId="92" applyFont="1" applyFill="1" applyBorder="1"/>
    <xf numFmtId="3" fontId="3" fillId="0" borderId="16" xfId="92" applyNumberFormat="1" applyFont="1" applyFill="1" applyBorder="1"/>
    <xf numFmtId="3" fontId="4" fillId="0" borderId="46" xfId="92" applyNumberFormat="1" applyFont="1" applyFill="1" applyBorder="1" applyAlignment="1">
      <alignment horizontal="right"/>
    </xf>
    <xf numFmtId="0" fontId="4" fillId="0" borderId="46" xfId="92" applyFont="1" applyFill="1" applyBorder="1"/>
    <xf numFmtId="3" fontId="4" fillId="0" borderId="46" xfId="92" applyNumberFormat="1" applyFont="1" applyFill="1" applyBorder="1"/>
    <xf numFmtId="3" fontId="6" fillId="0" borderId="0" xfId="92" applyNumberFormat="1" applyFont="1" applyBorder="1"/>
    <xf numFmtId="0" fontId="7" fillId="0" borderId="0" xfId="93" applyFont="1"/>
    <xf numFmtId="3" fontId="7" fillId="0" borderId="0" xfId="93" applyNumberFormat="1" applyFont="1"/>
    <xf numFmtId="0" fontId="102" fillId="0" borderId="0" xfId="91" applyFont="1"/>
    <xf numFmtId="0" fontId="82" fillId="0" borderId="0" xfId="93" applyFont="1" applyAlignment="1">
      <alignment horizontal="center"/>
    </xf>
    <xf numFmtId="0" fontId="104" fillId="0" borderId="0" xfId="93" applyFont="1" applyAlignment="1">
      <alignment horizontal="center"/>
    </xf>
    <xf numFmtId="0" fontId="20" fillId="0" borderId="0" xfId="93" applyFont="1"/>
    <xf numFmtId="0" fontId="7" fillId="0" borderId="0" xfId="93" applyFont="1" applyBorder="1"/>
    <xf numFmtId="3" fontId="20" fillId="0" borderId="0" xfId="93" applyNumberFormat="1" applyFont="1"/>
    <xf numFmtId="0" fontId="7" fillId="0" borderId="0" xfId="93" applyFont="1" applyAlignment="1">
      <alignment horizontal="right"/>
    </xf>
    <xf numFmtId="0" fontId="105" fillId="0" borderId="23" xfId="93" applyFont="1" applyBorder="1"/>
    <xf numFmtId="0" fontId="105" fillId="0" borderId="46" xfId="93" applyFont="1" applyBorder="1" applyAlignment="1">
      <alignment horizontal="centerContinuous"/>
    </xf>
    <xf numFmtId="0" fontId="43" fillId="0" borderId="47" xfId="0" applyFont="1" applyBorder="1"/>
    <xf numFmtId="0" fontId="43" fillId="0" borderId="53" xfId="0" applyFont="1" applyBorder="1"/>
    <xf numFmtId="0" fontId="105" fillId="0" borderId="0" xfId="93" applyFont="1"/>
    <xf numFmtId="0" fontId="105" fillId="0" borderId="19" xfId="93" applyFont="1" applyBorder="1"/>
    <xf numFmtId="0" fontId="105" fillId="0" borderId="16" xfId="93" applyFont="1" applyBorder="1"/>
    <xf numFmtId="3" fontId="82" fillId="0" borderId="61" xfId="93" applyNumberFormat="1" applyFont="1" applyBorder="1" applyAlignment="1">
      <alignment horizontal="center"/>
    </xf>
    <xf numFmtId="3" fontId="82" fillId="0" borderId="28" xfId="93" applyNumberFormat="1" applyFont="1" applyBorder="1" applyAlignment="1">
      <alignment horizontal="center"/>
    </xf>
    <xf numFmtId="3" fontId="82" fillId="0" borderId="0" xfId="93" applyNumberFormat="1" applyFont="1" applyBorder="1" applyAlignment="1">
      <alignment horizontal="justify"/>
    </xf>
    <xf numFmtId="3" fontId="82" fillId="0" borderId="0" xfId="93" applyNumberFormat="1" applyFont="1"/>
    <xf numFmtId="0" fontId="105" fillId="0" borderId="93" xfId="93" applyFont="1" applyFill="1" applyBorder="1"/>
    <xf numFmtId="3" fontId="105" fillId="0" borderId="32" xfId="93" applyNumberFormat="1" applyFont="1" applyFill="1" applyBorder="1"/>
    <xf numFmtId="4" fontId="105" fillId="0" borderId="125" xfId="93" applyNumberFormat="1" applyFont="1" applyFill="1" applyBorder="1"/>
    <xf numFmtId="4" fontId="105" fillId="0" borderId="0" xfId="93" applyNumberFormat="1" applyFont="1" applyFill="1" applyBorder="1"/>
    <xf numFmtId="3" fontId="105" fillId="0" borderId="0" xfId="93" applyNumberFormat="1" applyFont="1" applyFill="1"/>
    <xf numFmtId="0" fontId="105" fillId="0" borderId="0" xfId="93" applyFont="1" applyFill="1"/>
    <xf numFmtId="0" fontId="105" fillId="0" borderId="26" xfId="93" applyFont="1" applyFill="1" applyBorder="1"/>
    <xf numFmtId="0" fontId="105" fillId="0" borderId="24" xfId="93" applyFont="1" applyFill="1" applyBorder="1"/>
    <xf numFmtId="4" fontId="105" fillId="0" borderId="58" xfId="93" applyNumberFormat="1" applyFont="1" applyFill="1" applyBorder="1"/>
    <xf numFmtId="0" fontId="82" fillId="0" borderId="19" xfId="93" applyFont="1" applyFill="1" applyBorder="1"/>
    <xf numFmtId="0" fontId="82" fillId="0" borderId="16" xfId="93" applyFont="1" applyFill="1" applyBorder="1"/>
    <xf numFmtId="3" fontId="82" fillId="0" borderId="61" xfId="93" applyNumberFormat="1" applyFont="1" applyFill="1" applyBorder="1"/>
    <xf numFmtId="4" fontId="82" fillId="0" borderId="28" xfId="93" applyNumberFormat="1" applyFont="1" applyFill="1" applyBorder="1"/>
    <xf numFmtId="0" fontId="106" fillId="0" borderId="0" xfId="0" applyFont="1" applyFill="1" applyBorder="1" applyAlignment="1">
      <alignment vertical="center" wrapText="1"/>
    </xf>
    <xf numFmtId="0" fontId="106" fillId="0" borderId="0" xfId="93" applyFont="1" applyFill="1"/>
    <xf numFmtId="0" fontId="85" fillId="0" borderId="19" xfId="93" applyFont="1" applyFill="1" applyBorder="1"/>
    <xf numFmtId="0" fontId="85" fillId="0" borderId="22" xfId="93" applyFont="1" applyFill="1" applyBorder="1"/>
    <xf numFmtId="3" fontId="85" fillId="0" borderId="43" xfId="93" applyNumberFormat="1" applyFont="1" applyFill="1" applyBorder="1"/>
    <xf numFmtId="0" fontId="106" fillId="0" borderId="26" xfId="93" applyFont="1" applyFill="1" applyBorder="1"/>
    <xf numFmtId="4" fontId="106" fillId="0" borderId="58" xfId="93" applyNumberFormat="1" applyFont="1" applyFill="1" applyBorder="1"/>
    <xf numFmtId="4" fontId="85" fillId="0" borderId="28" xfId="93" applyNumberFormat="1" applyFont="1" applyFill="1" applyBorder="1"/>
    <xf numFmtId="4" fontId="105" fillId="0" borderId="0" xfId="93" applyNumberFormat="1" applyFont="1" applyBorder="1"/>
    <xf numFmtId="3" fontId="105" fillId="0" borderId="0" xfId="93" applyNumberFormat="1" applyFont="1"/>
    <xf numFmtId="0" fontId="106" fillId="0" borderId="18" xfId="93" applyFont="1" applyFill="1" applyBorder="1"/>
    <xf numFmtId="3" fontId="106" fillId="0" borderId="0" xfId="0" applyNumberFormat="1" applyFont="1" applyFill="1" applyBorder="1" applyAlignment="1">
      <alignment vertical="center" wrapText="1"/>
    </xf>
    <xf numFmtId="4" fontId="85" fillId="0" borderId="0" xfId="93" applyNumberFormat="1" applyFont="1" applyBorder="1"/>
    <xf numFmtId="0" fontId="105" fillId="0" borderId="57" xfId="93" applyFont="1" applyBorder="1"/>
    <xf numFmtId="0" fontId="105" fillId="0" borderId="24" xfId="93" applyFont="1" applyBorder="1"/>
    <xf numFmtId="3" fontId="105" fillId="0" borderId="32" xfId="93" applyNumberFormat="1" applyFont="1" applyBorder="1"/>
    <xf numFmtId="4" fontId="105" fillId="0" borderId="125" xfId="93" applyNumberFormat="1" applyFont="1" applyBorder="1"/>
    <xf numFmtId="3" fontId="82" fillId="0" borderId="0" xfId="93" applyNumberFormat="1" applyFont="1" applyBorder="1"/>
    <xf numFmtId="3" fontId="105" fillId="0" borderId="0" xfId="93" applyNumberFormat="1" applyFont="1" applyBorder="1"/>
    <xf numFmtId="0" fontId="105" fillId="0" borderId="0" xfId="93" applyFont="1" applyBorder="1"/>
    <xf numFmtId="0" fontId="106" fillId="0" borderId="0" xfId="93" applyFont="1"/>
    <xf numFmtId="0" fontId="85" fillId="0" borderId="0" xfId="93" applyFont="1"/>
    <xf numFmtId="0" fontId="105" fillId="0" borderId="18" xfId="93" applyFont="1" applyBorder="1"/>
    <xf numFmtId="4" fontId="105" fillId="0" borderId="58" xfId="93" applyNumberFormat="1" applyFont="1" applyBorder="1"/>
    <xf numFmtId="3" fontId="105" fillId="0" borderId="101" xfId="93" applyNumberFormat="1" applyFont="1" applyBorder="1"/>
    <xf numFmtId="0" fontId="105" fillId="0" borderId="26" xfId="93" applyFont="1" applyBorder="1"/>
    <xf numFmtId="0" fontId="105" fillId="0" borderId="108" xfId="93" applyFont="1" applyBorder="1"/>
    <xf numFmtId="3" fontId="105" fillId="0" borderId="55" xfId="93" applyNumberFormat="1" applyFont="1" applyFill="1" applyBorder="1"/>
    <xf numFmtId="4" fontId="105" fillId="0" borderId="56" xfId="93" applyNumberFormat="1" applyFont="1" applyBorder="1"/>
    <xf numFmtId="0" fontId="105" fillId="0" borderId="93" xfId="93" applyFont="1" applyBorder="1"/>
    <xf numFmtId="0" fontId="82" fillId="31" borderId="19" xfId="93" applyFont="1" applyFill="1" applyBorder="1"/>
    <xf numFmtId="0" fontId="82" fillId="31" borderId="16" xfId="93" applyFont="1" applyFill="1" applyBorder="1"/>
    <xf numFmtId="3" fontId="82" fillId="31" borderId="61" xfId="93" applyNumberFormat="1" applyFont="1" applyFill="1" applyBorder="1"/>
    <xf numFmtId="4" fontId="82" fillId="31" borderId="28" xfId="93" applyNumberFormat="1" applyFont="1" applyFill="1" applyBorder="1"/>
    <xf numFmtId="4" fontId="105" fillId="0" borderId="0" xfId="93" applyNumberFormat="1" applyFont="1"/>
    <xf numFmtId="0" fontId="105" fillId="0" borderId="0" xfId="93" applyFont="1" applyFill="1" applyBorder="1"/>
    <xf numFmtId="4" fontId="20" fillId="28" borderId="0" xfId="93" applyNumberFormat="1" applyFont="1" applyFill="1" applyBorder="1"/>
    <xf numFmtId="3" fontId="7" fillId="0" borderId="0" xfId="93" applyNumberFormat="1" applyFont="1" applyBorder="1"/>
    <xf numFmtId="0" fontId="7" fillId="0" borderId="0" xfId="93" applyFont="1" applyFill="1" applyBorder="1"/>
    <xf numFmtId="4" fontId="7" fillId="28" borderId="0" xfId="93" applyNumberFormat="1" applyFont="1" applyFill="1" applyBorder="1"/>
    <xf numFmtId="3" fontId="7" fillId="0" borderId="108" xfId="93" applyNumberFormat="1" applyFont="1" applyFill="1" applyBorder="1"/>
    <xf numFmtId="4" fontId="15" fillId="28" borderId="0" xfId="93" applyNumberFormat="1" applyFont="1" applyFill="1" applyBorder="1"/>
    <xf numFmtId="3" fontId="7" fillId="0" borderId="0" xfId="93" applyNumberFormat="1" applyFont="1" applyFill="1" applyBorder="1"/>
    <xf numFmtId="3" fontId="20" fillId="28" borderId="0" xfId="93" applyNumberFormat="1" applyFont="1" applyFill="1" applyBorder="1"/>
    <xf numFmtId="3" fontId="7" fillId="0" borderId="0" xfId="93" applyNumberFormat="1" applyFont="1" applyFill="1"/>
    <xf numFmtId="0" fontId="7" fillId="0" borderId="0" xfId="93" applyFont="1" applyFill="1"/>
    <xf numFmtId="0" fontId="2" fillId="0" borderId="0" xfId="94"/>
    <xf numFmtId="0" fontId="10" fillId="0" borderId="0" xfId="94" applyFont="1" applyBorder="1" applyAlignment="1">
      <alignment horizontal="center"/>
    </xf>
    <xf numFmtId="0" fontId="2" fillId="0" borderId="0" xfId="94" applyBorder="1" applyAlignment="1">
      <alignment horizontal="center"/>
    </xf>
    <xf numFmtId="0" fontId="2" fillId="0" borderId="32" xfId="94" applyBorder="1" applyAlignment="1">
      <alignment horizontal="center"/>
    </xf>
    <xf numFmtId="0" fontId="2" fillId="0" borderId="58" xfId="94" applyBorder="1" applyAlignment="1">
      <alignment horizontal="center"/>
    </xf>
    <xf numFmtId="0" fontId="10" fillId="0" borderId="43" xfId="94" applyFont="1" applyBorder="1" applyAlignment="1">
      <alignment horizontal="center"/>
    </xf>
    <xf numFmtId="0" fontId="10" fillId="0" borderId="54" xfId="94" applyFont="1" applyBorder="1" applyAlignment="1">
      <alignment horizontal="center"/>
    </xf>
    <xf numFmtId="3" fontId="2" fillId="0" borderId="93" xfId="94" applyNumberFormat="1" applyFill="1" applyBorder="1"/>
    <xf numFmtId="3" fontId="2" fillId="0" borderId="104" xfId="94" applyNumberFormat="1" applyBorder="1"/>
    <xf numFmtId="3" fontId="2" fillId="0" borderId="93" xfId="94" applyNumberFormat="1" applyBorder="1"/>
    <xf numFmtId="3" fontId="2" fillId="0" borderId="104" xfId="94" applyNumberFormat="1" applyFill="1" applyBorder="1"/>
    <xf numFmtId="3" fontId="2" fillId="0" borderId="103" xfId="94" applyNumberFormat="1" applyBorder="1"/>
    <xf numFmtId="3" fontId="2" fillId="0" borderId="24" xfId="94" applyNumberFormat="1" applyFill="1" applyBorder="1"/>
    <xf numFmtId="3" fontId="2" fillId="0" borderId="32" xfId="94" applyNumberFormat="1" applyBorder="1"/>
    <xf numFmtId="3" fontId="2" fillId="0" borderId="24" xfId="94" applyNumberFormat="1" applyBorder="1"/>
    <xf numFmtId="3" fontId="2" fillId="0" borderId="32" xfId="94" applyNumberFormat="1" applyFill="1" applyBorder="1"/>
    <xf numFmtId="3" fontId="2" fillId="0" borderId="90" xfId="94" applyNumberFormat="1" applyBorder="1"/>
    <xf numFmtId="3" fontId="2" fillId="0" borderId="43" xfId="94" applyNumberFormat="1" applyFill="1" applyBorder="1"/>
    <xf numFmtId="3" fontId="2" fillId="0" borderId="54" xfId="94" applyNumberFormat="1" applyFill="1" applyBorder="1"/>
    <xf numFmtId="0" fontId="2" fillId="0" borderId="134" xfId="94" applyFont="1" applyBorder="1" applyAlignment="1">
      <alignment horizontal="left"/>
    </xf>
    <xf numFmtId="0" fontId="2" fillId="0" borderId="132" xfId="94" applyBorder="1" applyAlignment="1">
      <alignment horizontal="left"/>
    </xf>
    <xf numFmtId="3" fontId="2" fillId="0" borderId="134" xfId="94" applyNumberFormat="1" applyFill="1" applyBorder="1"/>
    <xf numFmtId="3" fontId="2" fillId="0" borderId="135" xfId="94" applyNumberFormat="1" applyBorder="1"/>
    <xf numFmtId="3" fontId="2" fillId="0" borderId="134" xfId="94" applyNumberFormat="1" applyBorder="1"/>
    <xf numFmtId="3" fontId="2" fillId="0" borderId="135" xfId="94" applyNumberFormat="1" applyFill="1" applyBorder="1"/>
    <xf numFmtId="3" fontId="2" fillId="0" borderId="130" xfId="94" applyNumberFormat="1" applyBorder="1"/>
    <xf numFmtId="0" fontId="2" fillId="0" borderId="0" xfId="94" applyBorder="1"/>
    <xf numFmtId="0" fontId="2" fillId="0" borderId="32" xfId="94" applyBorder="1"/>
    <xf numFmtId="0" fontId="2" fillId="0" borderId="139" xfId="94" applyBorder="1"/>
    <xf numFmtId="0" fontId="2" fillId="0" borderId="0" xfId="94" applyBorder="1" applyAlignment="1">
      <alignment vertical="center"/>
    </xf>
    <xf numFmtId="0" fontId="2" fillId="0" borderId="55" xfId="94" applyBorder="1"/>
    <xf numFmtId="3" fontId="2" fillId="0" borderId="0" xfId="94" applyNumberFormat="1" applyBorder="1"/>
    <xf numFmtId="3" fontId="2" fillId="0" borderId="15" xfId="94" applyNumberFormat="1" applyBorder="1"/>
    <xf numFmtId="3" fontId="2" fillId="0" borderId="15" xfId="94" applyNumberFormat="1" applyFill="1" applyBorder="1"/>
    <xf numFmtId="3" fontId="2" fillId="0" borderId="0" xfId="94" applyNumberFormat="1" applyFill="1" applyBorder="1"/>
    <xf numFmtId="3" fontId="2" fillId="0" borderId="87" xfId="94" applyNumberFormat="1" applyBorder="1"/>
    <xf numFmtId="0" fontId="2" fillId="0" borderId="0" xfId="94" applyBorder="1" applyAlignment="1">
      <alignment horizontal="left" vertical="center"/>
    </xf>
    <xf numFmtId="3" fontId="2" fillId="0" borderId="49" xfId="94" applyNumberFormat="1" applyBorder="1"/>
    <xf numFmtId="0" fontId="2" fillId="0" borderId="93" xfId="94" applyBorder="1" applyAlignment="1">
      <alignment horizontal="left" vertical="center"/>
    </xf>
    <xf numFmtId="0" fontId="2" fillId="0" borderId="104" xfId="94" applyBorder="1"/>
    <xf numFmtId="0" fontId="2" fillId="0" borderId="15" xfId="94" applyFont="1" applyBorder="1"/>
    <xf numFmtId="0" fontId="2" fillId="0" borderId="15" xfId="94" applyBorder="1"/>
    <xf numFmtId="0" fontId="2" fillId="0" borderId="83" xfId="94" applyBorder="1"/>
    <xf numFmtId="0" fontId="2" fillId="0" borderId="15" xfId="94" applyFill="1" applyBorder="1"/>
    <xf numFmtId="0" fontId="2" fillId="0" borderId="32" xfId="94" applyFill="1" applyBorder="1"/>
    <xf numFmtId="0" fontId="2" fillId="0" borderId="61" xfId="94" applyBorder="1"/>
    <xf numFmtId="0" fontId="2" fillId="0" borderId="102" xfId="94" applyBorder="1"/>
    <xf numFmtId="3" fontId="2" fillId="0" borderId="16" xfId="94" applyNumberFormat="1" applyBorder="1"/>
    <xf numFmtId="3" fontId="2" fillId="0" borderId="61" xfId="94" applyNumberFormat="1" applyBorder="1"/>
    <xf numFmtId="3" fontId="2" fillId="0" borderId="85" xfId="94" applyNumberFormat="1" applyBorder="1"/>
    <xf numFmtId="3" fontId="7" fillId="0" borderId="0" xfId="95" applyNumberFormat="1" applyFont="1" applyAlignment="1">
      <alignment horizontal="center"/>
    </xf>
    <xf numFmtId="3" fontId="7" fillId="0" borderId="0" xfId="95" applyNumberFormat="1" applyFont="1"/>
    <xf numFmtId="3" fontId="107" fillId="0" borderId="0" xfId="95" applyNumberFormat="1" applyFont="1"/>
    <xf numFmtId="0" fontId="4" fillId="0" borderId="0" xfId="79" applyFont="1" applyAlignment="1">
      <alignment horizontal="right"/>
    </xf>
    <xf numFmtId="3" fontId="82" fillId="0" borderId="20" xfId="95" applyNumberFormat="1" applyFont="1" applyBorder="1" applyAlignment="1"/>
    <xf numFmtId="3" fontId="105" fillId="0" borderId="96" xfId="95" applyNumberFormat="1" applyFont="1" applyBorder="1"/>
    <xf numFmtId="3" fontId="102" fillId="0" borderId="0" xfId="95" applyNumberFormat="1" applyFont="1"/>
    <xf numFmtId="3" fontId="105" fillId="0" borderId="0" xfId="95" applyNumberFormat="1" applyFont="1"/>
    <xf numFmtId="3" fontId="7" fillId="0" borderId="18" xfId="95" applyNumberFormat="1" applyFont="1" applyBorder="1" applyAlignment="1">
      <alignment horizontal="center"/>
    </xf>
    <xf numFmtId="3" fontId="7" fillId="0" borderId="0" xfId="95" applyNumberFormat="1" applyFont="1" applyBorder="1"/>
    <xf numFmtId="3" fontId="20" fillId="0" borderId="43" xfId="95" applyNumberFormat="1" applyFont="1" applyBorder="1" applyAlignment="1">
      <alignment horizontal="center"/>
    </xf>
    <xf numFmtId="3" fontId="20" fillId="0" borderId="22" xfId="95" applyNumberFormat="1" applyFont="1" applyBorder="1" applyAlignment="1">
      <alignment horizontal="center"/>
    </xf>
    <xf numFmtId="3" fontId="20" fillId="0" borderId="54" xfId="95" applyNumberFormat="1" applyFont="1" applyBorder="1" applyAlignment="1">
      <alignment horizontal="center"/>
    </xf>
    <xf numFmtId="3" fontId="108" fillId="0" borderId="17" xfId="95" applyNumberFormat="1" applyFont="1" applyFill="1" applyBorder="1" applyAlignment="1">
      <alignment horizontal="center"/>
    </xf>
    <xf numFmtId="3" fontId="108" fillId="0" borderId="22" xfId="95" applyNumberFormat="1" applyFont="1" applyFill="1" applyBorder="1"/>
    <xf numFmtId="3" fontId="82" fillId="0" borderId="43" xfId="95" applyNumberFormat="1" applyFont="1" applyFill="1" applyBorder="1" applyAlignment="1">
      <alignment horizontal="center"/>
    </xf>
    <xf numFmtId="3" fontId="82" fillId="0" borderId="54" xfId="95" applyNumberFormat="1" applyFont="1" applyFill="1" applyBorder="1" applyAlignment="1">
      <alignment horizontal="center"/>
    </xf>
    <xf numFmtId="3" fontId="109" fillId="0" borderId="0" xfId="95" applyNumberFormat="1" applyFont="1" applyFill="1"/>
    <xf numFmtId="3" fontId="108" fillId="0" borderId="0" xfId="95" applyNumberFormat="1" applyFont="1" applyFill="1"/>
    <xf numFmtId="3" fontId="82" fillId="0" borderId="20" xfId="95" applyNumberFormat="1" applyFont="1" applyFill="1" applyBorder="1" applyAlignment="1">
      <alignment horizontal="center"/>
    </xf>
    <xf numFmtId="3" fontId="82" fillId="0" borderId="96" xfId="95" applyNumberFormat="1" applyFont="1" applyFill="1" applyBorder="1"/>
    <xf numFmtId="3" fontId="82" fillId="0" borderId="21" xfId="95" applyNumberFormat="1" applyFont="1" applyFill="1" applyBorder="1"/>
    <xf numFmtId="3" fontId="82" fillId="0" borderId="60" xfId="95" applyNumberFormat="1" applyFont="1" applyFill="1" applyBorder="1"/>
    <xf numFmtId="3" fontId="104" fillId="0" borderId="0" xfId="95" applyNumberFormat="1" applyFont="1" applyFill="1"/>
    <xf numFmtId="3" fontId="82" fillId="0" borderId="0" xfId="95" applyNumberFormat="1" applyFont="1" applyFill="1"/>
    <xf numFmtId="3" fontId="20" fillId="0" borderId="18" xfId="95" applyNumberFormat="1" applyFont="1" applyFill="1" applyBorder="1" applyAlignment="1">
      <alignment horizontal="center"/>
    </xf>
    <xf numFmtId="3" fontId="20" fillId="0" borderId="0" xfId="95" applyNumberFormat="1" applyFont="1" applyFill="1" applyBorder="1"/>
    <xf numFmtId="3" fontId="20" fillId="0" borderId="15" xfId="95" applyNumberFormat="1" applyFont="1" applyFill="1" applyBorder="1"/>
    <xf numFmtId="3" fontId="20" fillId="0" borderId="59" xfId="95" applyNumberFormat="1" applyFont="1" applyFill="1" applyBorder="1"/>
    <xf numFmtId="3" fontId="110" fillId="0" borderId="0" xfId="95" applyNumberFormat="1" applyFont="1" applyFill="1"/>
    <xf numFmtId="3" fontId="20" fillId="0" borderId="0" xfId="95" applyNumberFormat="1" applyFont="1" applyFill="1"/>
    <xf numFmtId="3" fontId="7" fillId="0" borderId="40" xfId="95" applyNumberFormat="1" applyFont="1" applyFill="1" applyBorder="1" applyAlignment="1">
      <alignment horizontal="center"/>
    </xf>
    <xf numFmtId="3" fontId="7" fillId="0" borderId="37" xfId="95" applyNumberFormat="1" applyFont="1" applyFill="1" applyBorder="1"/>
    <xf numFmtId="3" fontId="7" fillId="0" borderId="36" xfId="95" applyNumberFormat="1" applyFont="1" applyFill="1" applyBorder="1"/>
    <xf numFmtId="3" fontId="7" fillId="0" borderId="68" xfId="95" applyNumberFormat="1" applyFont="1" applyFill="1" applyBorder="1"/>
    <xf numFmtId="3" fontId="7" fillId="0" borderId="0" xfId="95" applyNumberFormat="1" applyFont="1" applyFill="1"/>
    <xf numFmtId="3" fontId="7" fillId="0" borderId="18" xfId="95" applyNumberFormat="1" applyFont="1" applyFill="1" applyBorder="1" applyAlignment="1">
      <alignment horizontal="center"/>
    </xf>
    <xf numFmtId="3" fontId="7" fillId="0" borderId="0" xfId="95" applyNumberFormat="1" applyFont="1" applyFill="1" applyBorder="1"/>
    <xf numFmtId="3" fontId="7" fillId="0" borderId="15" xfId="95" applyNumberFormat="1" applyFont="1" applyFill="1" applyBorder="1"/>
    <xf numFmtId="3" fontId="7" fillId="0" borderId="59" xfId="95" applyNumberFormat="1" applyFont="1" applyFill="1" applyBorder="1"/>
    <xf numFmtId="3" fontId="20" fillId="0" borderId="40" xfId="95" applyNumberFormat="1" applyFont="1" applyFill="1" applyBorder="1" applyAlignment="1">
      <alignment horizontal="center"/>
    </xf>
    <xf numFmtId="3" fontId="20" fillId="0" borderId="37" xfId="95" applyNumberFormat="1" applyFont="1" applyFill="1" applyBorder="1"/>
    <xf numFmtId="3" fontId="20" fillId="0" borderId="36" xfId="95" applyNumberFormat="1" applyFont="1" applyFill="1" applyBorder="1"/>
    <xf numFmtId="3" fontId="20" fillId="0" borderId="68" xfId="95" applyNumberFormat="1" applyFont="1" applyFill="1" applyBorder="1"/>
    <xf numFmtId="3" fontId="82" fillId="0" borderId="82" xfId="95" applyNumberFormat="1" applyFont="1" applyFill="1" applyBorder="1"/>
    <xf numFmtId="3" fontId="85" fillId="0" borderId="18" xfId="95" applyNumberFormat="1" applyFont="1" applyFill="1" applyBorder="1" applyAlignment="1">
      <alignment horizontal="center"/>
    </xf>
    <xf numFmtId="3" fontId="85" fillId="0" borderId="0" xfId="95" applyNumberFormat="1" applyFont="1" applyFill="1" applyBorder="1"/>
    <xf numFmtId="3" fontId="85" fillId="0" borderId="15" xfId="95" applyNumberFormat="1" applyFont="1" applyFill="1" applyBorder="1"/>
    <xf numFmtId="3" fontId="85" fillId="0" borderId="59" xfId="95" applyNumberFormat="1" applyFont="1" applyFill="1" applyBorder="1"/>
    <xf numFmtId="3" fontId="111" fillId="0" borderId="0" xfId="95" applyNumberFormat="1" applyFont="1" applyFill="1"/>
    <xf numFmtId="3" fontId="85" fillId="0" borderId="0" xfId="95" applyNumberFormat="1" applyFont="1" applyFill="1"/>
    <xf numFmtId="3" fontId="15" fillId="0" borderId="40" xfId="95" applyNumberFormat="1" applyFont="1" applyFill="1" applyBorder="1" applyAlignment="1">
      <alignment horizontal="center"/>
    </xf>
    <xf numFmtId="3" fontId="61" fillId="0" borderId="37" xfId="95" applyNumberFormat="1" applyFont="1" applyFill="1" applyBorder="1"/>
    <xf numFmtId="3" fontId="15" fillId="0" borderId="37" xfId="95" applyNumberFormat="1" applyFont="1" applyFill="1" applyBorder="1"/>
    <xf numFmtId="3" fontId="61" fillId="0" borderId="36" xfId="95" applyNumberFormat="1" applyFont="1" applyFill="1" applyBorder="1"/>
    <xf numFmtId="3" fontId="61" fillId="0" borderId="68" xfId="95" applyNumberFormat="1" applyFont="1" applyFill="1" applyBorder="1"/>
    <xf numFmtId="3" fontId="112" fillId="0" borderId="0" xfId="95" applyNumberFormat="1" applyFont="1" applyFill="1"/>
    <xf numFmtId="3" fontId="15" fillId="0" borderId="0" xfId="95" applyNumberFormat="1" applyFont="1" applyFill="1"/>
    <xf numFmtId="3" fontId="7" fillId="0" borderId="0" xfId="95" applyNumberFormat="1" applyFont="1" applyFill="1" applyBorder="1" applyAlignment="1">
      <alignment horizontal="center"/>
    </xf>
    <xf numFmtId="3" fontId="7" fillId="0" borderId="37" xfId="95" applyNumberFormat="1" applyFont="1" applyFill="1" applyBorder="1" applyAlignment="1">
      <alignment horizontal="center"/>
    </xf>
    <xf numFmtId="3" fontId="7" fillId="0" borderId="0" xfId="95" applyNumberFormat="1" applyFont="1" applyFill="1" applyBorder="1" applyAlignment="1">
      <alignment horizontal="center" vertical="center"/>
    </xf>
    <xf numFmtId="3" fontId="7" fillId="0" borderId="0" xfId="95" applyNumberFormat="1" applyFont="1" applyFill="1" applyBorder="1" applyAlignment="1">
      <alignment wrapText="1"/>
    </xf>
    <xf numFmtId="3" fontId="85" fillId="0" borderId="40" xfId="95" applyNumberFormat="1" applyFont="1" applyBorder="1" applyAlignment="1">
      <alignment horizontal="center"/>
    </xf>
    <xf numFmtId="3" fontId="85" fillId="0" borderId="37" xfId="95" applyNumberFormat="1" applyFont="1" applyBorder="1"/>
    <xf numFmtId="3" fontId="85" fillId="0" borderId="36" xfId="95" applyNumberFormat="1" applyFont="1" applyBorder="1"/>
    <xf numFmtId="3" fontId="85" fillId="0" borderId="68" xfId="95" applyNumberFormat="1" applyFont="1" applyBorder="1"/>
    <xf numFmtId="3" fontId="111" fillId="0" borderId="0" xfId="95" applyNumberFormat="1" applyFont="1"/>
    <xf numFmtId="3" fontId="85" fillId="0" borderId="0" xfId="95" applyNumberFormat="1" applyFont="1"/>
    <xf numFmtId="3" fontId="7" fillId="0" borderId="15" xfId="95" applyNumberFormat="1" applyFont="1" applyBorder="1"/>
    <xf numFmtId="3" fontId="7" fillId="0" borderId="59" xfId="95" applyNumberFormat="1" applyFont="1" applyBorder="1"/>
    <xf numFmtId="3" fontId="110" fillId="0" borderId="0" xfId="95" applyNumberFormat="1" applyFont="1"/>
    <xf numFmtId="3" fontId="7" fillId="0" borderId="40" xfId="95" applyNumberFormat="1" applyFont="1" applyBorder="1" applyAlignment="1">
      <alignment horizontal="center"/>
    </xf>
    <xf numFmtId="3" fontId="7" fillId="0" borderId="37" xfId="95" applyNumberFormat="1" applyFont="1" applyBorder="1"/>
    <xf numFmtId="3" fontId="7" fillId="0" borderId="36" xfId="95" applyNumberFormat="1" applyFont="1" applyBorder="1"/>
    <xf numFmtId="3" fontId="7" fillId="0" borderId="68" xfId="95" applyNumberFormat="1" applyFont="1" applyBorder="1"/>
    <xf numFmtId="3" fontId="7" fillId="0" borderId="41" xfId="95" applyNumberFormat="1" applyFont="1" applyBorder="1" applyAlignment="1">
      <alignment horizontal="center"/>
    </xf>
    <xf numFmtId="3" fontId="7" fillId="0" borderId="98" xfId="95" applyNumberFormat="1" applyFont="1" applyBorder="1"/>
    <xf numFmtId="3" fontId="7" fillId="0" borderId="64" xfId="95" applyNumberFormat="1" applyFont="1" applyBorder="1"/>
    <xf numFmtId="3" fontId="7" fillId="0" borderId="113" xfId="95" applyNumberFormat="1" applyFont="1" applyBorder="1"/>
    <xf numFmtId="3" fontId="85" fillId="0" borderId="115" xfId="95" applyNumberFormat="1" applyFont="1" applyBorder="1" applyAlignment="1">
      <alignment horizontal="center"/>
    </xf>
    <xf numFmtId="3" fontId="85" fillId="0" borderId="116" xfId="95" applyNumberFormat="1" applyFont="1" applyBorder="1"/>
    <xf numFmtId="3" fontId="85" fillId="0" borderId="117" xfId="95" applyNumberFormat="1" applyFont="1" applyBorder="1"/>
    <xf numFmtId="3" fontId="85" fillId="0" borderId="118" xfId="95" applyNumberFormat="1" applyFont="1" applyBorder="1"/>
    <xf numFmtId="3" fontId="85" fillId="0" borderId="18" xfId="95" applyNumberFormat="1" applyFont="1" applyBorder="1" applyAlignment="1">
      <alignment horizontal="center"/>
    </xf>
    <xf numFmtId="3" fontId="85" fillId="0" borderId="0" xfId="95" applyNumberFormat="1" applyFont="1" applyBorder="1"/>
    <xf numFmtId="3" fontId="85" fillId="0" borderId="15" xfId="95" applyNumberFormat="1" applyFont="1" applyBorder="1"/>
    <xf numFmtId="3" fontId="85" fillId="0" borderId="59" xfId="95" applyNumberFormat="1" applyFont="1" applyBorder="1"/>
    <xf numFmtId="3" fontId="7" fillId="0" borderId="37" xfId="96" applyNumberFormat="1" applyFont="1" applyBorder="1"/>
    <xf numFmtId="3" fontId="7" fillId="0" borderId="36" xfId="96" applyNumberFormat="1" applyFont="1" applyBorder="1"/>
    <xf numFmtId="3" fontId="85" fillId="0" borderId="0" xfId="96" applyNumberFormat="1" applyFont="1" applyBorder="1"/>
    <xf numFmtId="3" fontId="85" fillId="0" borderId="15" xfId="96" applyNumberFormat="1" applyFont="1" applyBorder="1"/>
    <xf numFmtId="3" fontId="82" fillId="0" borderId="20" xfId="95" applyNumberFormat="1" applyFont="1" applyBorder="1" applyAlignment="1">
      <alignment horizontal="center"/>
    </xf>
    <xf numFmtId="3" fontId="82" fillId="0" borderId="96" xfId="95" applyNumberFormat="1" applyFont="1" applyBorder="1"/>
    <xf numFmtId="3" fontId="82" fillId="0" borderId="96" xfId="96" applyNumberFormat="1" applyFont="1" applyBorder="1"/>
    <xf numFmtId="3" fontId="82" fillId="0" borderId="21" xfId="96" applyNumberFormat="1" applyFont="1" applyBorder="1"/>
    <xf numFmtId="3" fontId="82" fillId="0" borderId="60" xfId="95" applyNumberFormat="1" applyFont="1" applyBorder="1"/>
    <xf numFmtId="3" fontId="104" fillId="0" borderId="0" xfId="95" applyNumberFormat="1" applyFont="1"/>
    <xf numFmtId="3" fontId="82" fillId="0" borderId="0" xfId="95" applyNumberFormat="1" applyFont="1"/>
    <xf numFmtId="3" fontId="39" fillId="0" borderId="18" xfId="95" applyNumberFormat="1" applyFont="1" applyBorder="1" applyAlignment="1">
      <alignment horizontal="center"/>
    </xf>
    <xf numFmtId="3" fontId="39" fillId="0" borderId="0" xfId="95" applyNumberFormat="1" applyFont="1" applyBorder="1"/>
    <xf numFmtId="3" fontId="39" fillId="0" borderId="0" xfId="96" applyNumberFormat="1" applyFont="1" applyBorder="1"/>
    <xf numFmtId="3" fontId="39" fillId="0" borderId="15" xfId="96" applyNumberFormat="1" applyFont="1" applyBorder="1"/>
    <xf numFmtId="3" fontId="39" fillId="0" borderId="59" xfId="95" applyNumberFormat="1" applyFont="1" applyBorder="1"/>
    <xf numFmtId="3" fontId="113" fillId="0" borderId="0" xfId="95" applyNumberFormat="1" applyFont="1"/>
    <xf numFmtId="3" fontId="39" fillId="0" borderId="0" xfId="95" applyNumberFormat="1" applyFont="1"/>
    <xf numFmtId="3" fontId="39" fillId="0" borderId="40" xfId="95" applyNumberFormat="1" applyFont="1" applyBorder="1" applyAlignment="1">
      <alignment horizontal="center"/>
    </xf>
    <xf numFmtId="3" fontId="39" fillId="0" borderId="37" xfId="95" applyNumberFormat="1" applyFont="1" applyBorder="1"/>
    <xf numFmtId="3" fontId="39" fillId="0" borderId="37" xfId="96" applyNumberFormat="1" applyFont="1" applyBorder="1"/>
    <xf numFmtId="3" fontId="39" fillId="0" borderId="36" xfId="96" applyNumberFormat="1" applyFont="1" applyBorder="1"/>
    <xf numFmtId="3" fontId="39" fillId="0" borderId="68" xfId="95" applyNumberFormat="1" applyFont="1" applyBorder="1"/>
    <xf numFmtId="3" fontId="114" fillId="0" borderId="0" xfId="96" applyNumberFormat="1" applyFont="1" applyBorder="1"/>
    <xf numFmtId="3" fontId="7" fillId="0" borderId="0" xfId="96" applyNumberFormat="1" applyFont="1" applyBorder="1"/>
    <xf numFmtId="3" fontId="7" fillId="0" borderId="15" xfId="96" applyNumberFormat="1" applyFont="1" applyBorder="1"/>
    <xf numFmtId="3" fontId="39" fillId="0" borderId="59" xfId="95" applyNumberFormat="1" applyFont="1" applyBorder="1" applyAlignment="1">
      <alignment horizontal="right"/>
    </xf>
    <xf numFmtId="3" fontId="39" fillId="0" borderId="68" xfId="95" applyNumberFormat="1" applyFont="1" applyBorder="1" applyAlignment="1">
      <alignment horizontal="right"/>
    </xf>
    <xf numFmtId="3" fontId="78" fillId="0" borderId="0" xfId="96" applyNumberFormat="1" applyFont="1" applyBorder="1"/>
    <xf numFmtId="3" fontId="78" fillId="0" borderId="15" xfId="96" applyNumberFormat="1" applyFont="1" applyBorder="1"/>
    <xf numFmtId="3" fontId="78" fillId="0" borderId="37" xfId="96" applyNumberFormat="1" applyFont="1" applyBorder="1"/>
    <xf numFmtId="3" fontId="78" fillId="0" borderId="36" xfId="96" applyNumberFormat="1" applyFont="1" applyBorder="1"/>
    <xf numFmtId="3" fontId="15" fillId="0" borderId="18" xfId="95" applyNumberFormat="1" applyFont="1" applyBorder="1" applyAlignment="1">
      <alignment horizontal="center"/>
    </xf>
    <xf numFmtId="3" fontId="15" fillId="0" borderId="0" xfId="95" applyNumberFormat="1" applyFont="1" applyBorder="1"/>
    <xf numFmtId="3" fontId="61" fillId="0" borderId="0" xfId="96" applyNumberFormat="1" applyFont="1" applyBorder="1"/>
    <xf numFmtId="3" fontId="61" fillId="0" borderId="15" xfId="96" applyNumberFormat="1" applyFont="1" applyBorder="1"/>
    <xf numFmtId="3" fontId="15" fillId="0" borderId="59" xfId="95" applyNumberFormat="1" applyFont="1" applyBorder="1"/>
    <xf numFmtId="3" fontId="112" fillId="0" borderId="0" xfId="95" applyNumberFormat="1" applyFont="1"/>
    <xf numFmtId="3" fontId="15" fillId="0" borderId="0" xfId="95" applyNumberFormat="1" applyFont="1"/>
    <xf numFmtId="3" fontId="7" fillId="0" borderId="0" xfId="95" applyNumberFormat="1" applyFont="1" applyBorder="1" applyAlignment="1">
      <alignment horizontal="center"/>
    </xf>
    <xf numFmtId="3" fontId="82" fillId="0" borderId="20" xfId="95" applyNumberFormat="1" applyFont="1" applyBorder="1" applyAlignment="1">
      <alignment horizontal="left"/>
    </xf>
    <xf numFmtId="3" fontId="108" fillId="0" borderId="20" xfId="95" applyNumberFormat="1" applyFont="1" applyBorder="1" applyAlignment="1">
      <alignment horizontal="center"/>
    </xf>
    <xf numFmtId="3" fontId="108" fillId="0" borderId="96" xfId="95" applyNumberFormat="1" applyFont="1" applyBorder="1"/>
    <xf numFmtId="3" fontId="108" fillId="0" borderId="96" xfId="96" applyNumberFormat="1" applyFont="1" applyBorder="1"/>
    <xf numFmtId="3" fontId="108" fillId="0" borderId="21" xfId="96" applyNumberFormat="1" applyFont="1" applyBorder="1"/>
    <xf numFmtId="3" fontId="108" fillId="0" borderId="60" xfId="95" applyNumberFormat="1" applyFont="1" applyBorder="1" applyAlignment="1">
      <alignment horizontal="right"/>
    </xf>
    <xf numFmtId="3" fontId="108" fillId="0" borderId="0" xfId="95" applyNumberFormat="1" applyFont="1"/>
    <xf numFmtId="3" fontId="7" fillId="0" borderId="23" xfId="95" applyNumberFormat="1" applyFont="1" applyBorder="1" applyAlignment="1">
      <alignment horizontal="center"/>
    </xf>
    <xf numFmtId="3" fontId="7" fillId="0" borderId="46" xfId="95" applyNumberFormat="1" applyFont="1" applyBorder="1"/>
    <xf numFmtId="3" fontId="7" fillId="0" borderId="46" xfId="96" applyNumberFormat="1" applyFont="1" applyBorder="1"/>
    <xf numFmtId="3" fontId="7" fillId="0" borderId="45" xfId="96" applyNumberFormat="1" applyFont="1" applyBorder="1"/>
    <xf numFmtId="3" fontId="7" fillId="0" borderId="27" xfId="95" applyNumberFormat="1" applyFont="1" applyBorder="1"/>
    <xf numFmtId="3" fontId="20" fillId="0" borderId="18" xfId="95" applyNumberFormat="1" applyFont="1" applyBorder="1" applyAlignment="1"/>
    <xf numFmtId="3" fontId="20" fillId="0" borderId="0" xfId="95" applyNumberFormat="1" applyFont="1" applyBorder="1"/>
    <xf numFmtId="3" fontId="20" fillId="0" borderId="15" xfId="95" applyNumberFormat="1" applyFont="1" applyBorder="1"/>
    <xf numFmtId="3" fontId="20" fillId="0" borderId="59" xfId="95" applyNumberFormat="1" applyFont="1" applyBorder="1"/>
    <xf numFmtId="3" fontId="20" fillId="0" borderId="0" xfId="95" applyNumberFormat="1" applyFont="1"/>
    <xf numFmtId="3" fontId="15" fillId="0" borderId="15" xfId="95" applyNumberFormat="1" applyFont="1" applyBorder="1"/>
    <xf numFmtId="3" fontId="39" fillId="0" borderId="36" xfId="95" applyNumberFormat="1" applyFont="1" applyFill="1" applyBorder="1"/>
    <xf numFmtId="3" fontId="39" fillId="0" borderId="15" xfId="95" applyNumberFormat="1" applyFont="1" applyFill="1" applyBorder="1"/>
    <xf numFmtId="3" fontId="20" fillId="0" borderId="18" xfId="95" applyNumberFormat="1" applyFont="1" applyBorder="1" applyAlignment="1">
      <alignment horizontal="center"/>
    </xf>
    <xf numFmtId="3" fontId="15" fillId="0" borderId="15" xfId="95" applyNumberFormat="1" applyFont="1" applyFill="1" applyBorder="1"/>
    <xf numFmtId="3" fontId="15" fillId="0" borderId="59" xfId="95" applyNumberFormat="1" applyFont="1" applyFill="1" applyBorder="1"/>
    <xf numFmtId="3" fontId="20" fillId="0" borderId="40" xfId="95" applyNumberFormat="1" applyFont="1" applyBorder="1" applyAlignment="1">
      <alignment horizontal="center"/>
    </xf>
    <xf numFmtId="3" fontId="20" fillId="0" borderId="37" xfId="95" applyNumberFormat="1" applyFont="1" applyBorder="1"/>
    <xf numFmtId="3" fontId="39" fillId="0" borderId="68" xfId="95" applyNumberFormat="1" applyFont="1" applyFill="1" applyBorder="1"/>
    <xf numFmtId="3" fontId="15" fillId="0" borderId="40" xfId="95" applyNumberFormat="1" applyFont="1" applyFill="1" applyBorder="1"/>
    <xf numFmtId="3" fontId="85" fillId="0" borderId="37" xfId="95" applyNumberFormat="1" applyFont="1" applyFill="1" applyBorder="1"/>
    <xf numFmtId="3" fontId="85" fillId="0" borderId="36" xfId="95" applyNumberFormat="1" applyFont="1" applyFill="1" applyBorder="1"/>
    <xf numFmtId="3" fontId="85" fillId="0" borderId="68" xfId="95" applyNumberFormat="1" applyFont="1" applyFill="1" applyBorder="1"/>
    <xf numFmtId="3" fontId="39" fillId="0" borderId="18" xfId="95" applyNumberFormat="1" applyFont="1" applyFill="1" applyBorder="1" applyAlignment="1">
      <alignment horizontal="center"/>
    </xf>
    <xf numFmtId="3" fontId="39" fillId="0" borderId="0" xfId="95" applyNumberFormat="1" applyFont="1" applyFill="1" applyBorder="1"/>
    <xf numFmtId="3" fontId="39" fillId="0" borderId="59" xfId="95" applyNumberFormat="1" applyFont="1" applyFill="1" applyBorder="1"/>
    <xf numFmtId="3" fontId="39" fillId="0" borderId="0" xfId="95" applyNumberFormat="1" applyFont="1" applyFill="1"/>
    <xf numFmtId="3" fontId="39" fillId="0" borderId="40" xfId="95" applyNumberFormat="1" applyFont="1" applyFill="1" applyBorder="1" applyAlignment="1">
      <alignment horizontal="center"/>
    </xf>
    <xf numFmtId="3" fontId="39" fillId="0" borderId="37" xfId="95" applyNumberFormat="1" applyFont="1" applyFill="1" applyBorder="1"/>
    <xf numFmtId="3" fontId="15" fillId="0" borderId="18" xfId="95" applyNumberFormat="1" applyFont="1" applyFill="1" applyBorder="1" applyAlignment="1">
      <alignment horizontal="center"/>
    </xf>
    <xf numFmtId="3" fontId="15" fillId="0" borderId="0" xfId="95" applyNumberFormat="1" applyFont="1" applyFill="1" applyBorder="1"/>
    <xf numFmtId="3" fontId="15" fillId="0" borderId="18" xfId="95" applyNumberFormat="1" applyFont="1" applyFill="1" applyBorder="1"/>
    <xf numFmtId="3" fontId="15" fillId="0" borderId="19" xfId="95" applyNumberFormat="1" applyFont="1" applyBorder="1" applyAlignment="1">
      <alignment horizontal="center"/>
    </xf>
    <xf numFmtId="3" fontId="15" fillId="0" borderId="61" xfId="95" applyNumberFormat="1" applyFont="1" applyBorder="1"/>
    <xf numFmtId="3" fontId="15" fillId="0" borderId="16" xfId="95" applyNumberFormat="1" applyFont="1" applyBorder="1"/>
    <xf numFmtId="3" fontId="15" fillId="0" borderId="28" xfId="95" applyNumberFormat="1" applyFont="1" applyFill="1" applyBorder="1"/>
    <xf numFmtId="0" fontId="116" fillId="0" borderId="0" xfId="97" applyFont="1"/>
    <xf numFmtId="3" fontId="19" fillId="0" borderId="0" xfId="98" applyNumberFormat="1" applyFont="1" applyBorder="1" applyAlignment="1">
      <alignment horizontal="right"/>
    </xf>
    <xf numFmtId="0" fontId="115" fillId="0" borderId="0" xfId="99" applyBorder="1"/>
    <xf numFmtId="0" fontId="117" fillId="0" borderId="0" xfId="99" applyFont="1" applyBorder="1"/>
    <xf numFmtId="0" fontId="116" fillId="0" borderId="0" xfId="99" applyFont="1"/>
    <xf numFmtId="0" fontId="118" fillId="0" borderId="0" xfId="97" applyFont="1" applyFill="1"/>
    <xf numFmtId="0" fontId="119" fillId="0" borderId="0" xfId="97" applyFont="1" applyFill="1"/>
    <xf numFmtId="0" fontId="118" fillId="0" borderId="0" xfId="97" applyFont="1" applyFill="1" applyAlignment="1">
      <alignment horizontal="left"/>
    </xf>
    <xf numFmtId="0" fontId="121" fillId="0" borderId="84" xfId="99" applyFont="1" applyBorder="1" applyAlignment="1">
      <alignment horizontal="center"/>
    </xf>
    <xf numFmtId="0" fontId="119" fillId="0" borderId="0" xfId="99" applyFont="1" applyBorder="1"/>
    <xf numFmtId="0" fontId="121" fillId="0" borderId="69" xfId="99" applyFont="1" applyBorder="1" applyAlignment="1">
      <alignment horizontal="center"/>
    </xf>
    <xf numFmtId="3" fontId="117" fillId="0" borderId="0" xfId="99" applyNumberFormat="1" applyFont="1" applyBorder="1"/>
    <xf numFmtId="3" fontId="125" fillId="0" borderId="0" xfId="99" applyNumberFormat="1" applyFont="1" applyBorder="1"/>
    <xf numFmtId="3" fontId="119" fillId="0" borderId="0" xfId="99" applyNumberFormat="1" applyFont="1" applyBorder="1"/>
    <xf numFmtId="3" fontId="116" fillId="0" borderId="0" xfId="98" applyNumberFormat="1" applyFont="1" applyBorder="1" applyAlignment="1">
      <alignment horizontal="right"/>
    </xf>
    <xf numFmtId="0" fontId="126" fillId="0" borderId="0" xfId="99" applyFont="1" applyBorder="1"/>
    <xf numFmtId="3" fontId="127" fillId="0" borderId="91" xfId="98" applyNumberFormat="1" applyFont="1" applyBorder="1" applyAlignment="1">
      <alignment horizontal="left"/>
    </xf>
    <xf numFmtId="0" fontId="130" fillId="0" borderId="84" xfId="97" applyFont="1" applyFill="1" applyBorder="1" applyProtection="1"/>
    <xf numFmtId="0" fontId="130" fillId="0" borderId="23" xfId="97" applyFont="1" applyFill="1" applyBorder="1" applyProtection="1"/>
    <xf numFmtId="0" fontId="130" fillId="0" borderId="78" xfId="97" applyFont="1" applyFill="1" applyBorder="1" applyAlignment="1" applyProtection="1">
      <alignment horizontal="left"/>
    </xf>
    <xf numFmtId="0" fontId="130" fillId="0" borderId="78" xfId="97" applyFont="1" applyFill="1" applyBorder="1" applyAlignment="1" applyProtection="1"/>
    <xf numFmtId="0" fontId="129" fillId="0" borderId="78" xfId="97" applyFont="1" applyFill="1" applyBorder="1" applyAlignment="1" applyProtection="1">
      <alignment horizontal="center" vertical="center"/>
    </xf>
    <xf numFmtId="0" fontId="2" fillId="0" borderId="0" xfId="99" applyFont="1" applyBorder="1"/>
    <xf numFmtId="0" fontId="86" fillId="0" borderId="0" xfId="101" applyFont="1"/>
    <xf numFmtId="0" fontId="132" fillId="0" borderId="0" xfId="101" applyFont="1"/>
    <xf numFmtId="3" fontId="86" fillId="0" borderId="0" xfId="101" applyNumberFormat="1" applyFont="1"/>
    <xf numFmtId="3" fontId="132" fillId="0" borderId="0" xfId="101" applyNumberFormat="1" applyFont="1"/>
    <xf numFmtId="0" fontId="14" fillId="0" borderId="0" xfId="101" applyFont="1"/>
    <xf numFmtId="3" fontId="14" fillId="0" borderId="0" xfId="101" applyNumberFormat="1" applyFont="1"/>
    <xf numFmtId="0" fontId="86" fillId="0" borderId="0" xfId="101" applyFont="1" applyAlignment="1">
      <alignment horizontal="right"/>
    </xf>
    <xf numFmtId="0" fontId="133" fillId="0" borderId="0" xfId="101" applyFont="1" applyAlignment="1">
      <alignment horizontal="center"/>
    </xf>
    <xf numFmtId="0" fontId="14" fillId="0" borderId="129" xfId="101" applyFont="1" applyBorder="1"/>
    <xf numFmtId="0" fontId="86" fillId="0" borderId="134" xfId="101" applyFont="1" applyBorder="1"/>
    <xf numFmtId="0" fontId="86" fillId="0" borderId="132" xfId="101" applyFont="1" applyBorder="1"/>
    <xf numFmtId="3" fontId="14" fillId="0" borderId="23" xfId="101" applyNumberFormat="1" applyFont="1" applyBorder="1"/>
    <xf numFmtId="0" fontId="14" fillId="0" borderId="84" xfId="101" applyFont="1" applyBorder="1"/>
    <xf numFmtId="0" fontId="14" fillId="0" borderId="0" xfId="101" applyFont="1" applyBorder="1"/>
    <xf numFmtId="0" fontId="86" fillId="0" borderId="17" xfId="101" applyFont="1" applyBorder="1"/>
    <xf numFmtId="0" fontId="86" fillId="0" borderId="22" xfId="101" applyFont="1" applyBorder="1"/>
    <xf numFmtId="0" fontId="86" fillId="0" borderId="88" xfId="101" applyFont="1" applyBorder="1"/>
    <xf numFmtId="0" fontId="14" fillId="0" borderId="44" xfId="101" applyFont="1" applyBorder="1" applyAlignment="1">
      <alignment horizontal="center" vertical="center" wrapText="1"/>
    </xf>
    <xf numFmtId="3" fontId="14" fillId="0" borderId="43" xfId="101" applyNumberFormat="1" applyFont="1" applyBorder="1" applyAlignment="1">
      <alignment horizontal="center" vertical="center" wrapText="1"/>
    </xf>
    <xf numFmtId="0" fontId="14" fillId="0" borderId="22" xfId="101" applyFont="1" applyBorder="1" applyAlignment="1">
      <alignment horizontal="center" vertical="center" wrapText="1"/>
    </xf>
    <xf numFmtId="3" fontId="14" fillId="0" borderId="19" xfId="101" applyNumberFormat="1" applyFont="1" applyBorder="1"/>
    <xf numFmtId="0" fontId="14" fillId="0" borderId="70" xfId="101" applyFont="1" applyBorder="1"/>
    <xf numFmtId="0" fontId="86" fillId="0" borderId="26" xfId="101" applyFont="1" applyFill="1" applyBorder="1"/>
    <xf numFmtId="0" fontId="86" fillId="0" borderId="24" xfId="101" applyFont="1" applyFill="1" applyBorder="1"/>
    <xf numFmtId="0" fontId="86" fillId="0" borderId="138" xfId="101" applyFont="1" applyFill="1" applyBorder="1"/>
    <xf numFmtId="2" fontId="86" fillId="0" borderId="49" xfId="101" applyNumberFormat="1" applyFont="1" applyFill="1" applyBorder="1"/>
    <xf numFmtId="3" fontId="86" fillId="0" borderId="32" xfId="101" applyNumberFormat="1" applyFont="1" applyFill="1" applyBorder="1"/>
    <xf numFmtId="3" fontId="86" fillId="0" borderId="90" xfId="101" applyNumberFormat="1" applyFont="1" applyFill="1" applyBorder="1"/>
    <xf numFmtId="3" fontId="86" fillId="0" borderId="26" xfId="101" applyNumberFormat="1" applyFont="1" applyBorder="1"/>
    <xf numFmtId="3" fontId="86" fillId="0" borderId="133" xfId="101" applyNumberFormat="1" applyFont="1" applyBorder="1"/>
    <xf numFmtId="3" fontId="86" fillId="0" borderId="0" xfId="101" applyNumberFormat="1" applyFont="1" applyBorder="1"/>
    <xf numFmtId="14" fontId="86" fillId="0" borderId="0" xfId="101" applyNumberFormat="1" applyFont="1"/>
    <xf numFmtId="0" fontId="86" fillId="0" borderId="26" xfId="101" applyFont="1" applyBorder="1"/>
    <xf numFmtId="0" fontId="86" fillId="0" borderId="24" xfId="101" applyFont="1" applyBorder="1"/>
    <xf numFmtId="0" fontId="86" fillId="0" borderId="138" xfId="101" applyFont="1" applyBorder="1"/>
    <xf numFmtId="2" fontId="86" fillId="0" borderId="49" xfId="101" applyNumberFormat="1" applyFont="1" applyBorder="1"/>
    <xf numFmtId="3" fontId="86" fillId="0" borderId="79" xfId="101" applyNumberFormat="1" applyFont="1" applyBorder="1"/>
    <xf numFmtId="3" fontId="86" fillId="0" borderId="26" xfId="101" applyNumberFormat="1" applyFont="1" applyFill="1" applyBorder="1"/>
    <xf numFmtId="3" fontId="86" fillId="0" borderId="79" xfId="101" applyNumberFormat="1" applyFont="1" applyFill="1" applyBorder="1"/>
    <xf numFmtId="0" fontId="86" fillId="0" borderId="40" xfId="101" applyFont="1" applyBorder="1"/>
    <xf numFmtId="0" fontId="86" fillId="0" borderId="0" xfId="101" applyFont="1" applyFill="1"/>
    <xf numFmtId="0" fontId="86" fillId="0" borderId="57" xfId="101" applyFont="1" applyFill="1" applyBorder="1"/>
    <xf numFmtId="0" fontId="86" fillId="0" borderId="108" xfId="101" applyFont="1" applyFill="1" applyBorder="1"/>
    <xf numFmtId="0" fontId="86" fillId="0" borderId="73" xfId="101" applyFont="1" applyFill="1" applyBorder="1"/>
    <xf numFmtId="2" fontId="86" fillId="0" borderId="83" xfId="101" applyNumberFormat="1" applyFont="1" applyFill="1" applyBorder="1"/>
    <xf numFmtId="3" fontId="86" fillId="0" borderId="55" xfId="101" applyNumberFormat="1" applyFont="1" applyFill="1" applyBorder="1"/>
    <xf numFmtId="3" fontId="86" fillId="0" borderId="108" xfId="101" applyNumberFormat="1" applyFont="1" applyFill="1" applyBorder="1"/>
    <xf numFmtId="3" fontId="86" fillId="0" borderId="57" xfId="101" applyNumberFormat="1" applyFont="1" applyFill="1" applyBorder="1"/>
    <xf numFmtId="3" fontId="86" fillId="0" borderId="0" xfId="101" applyNumberFormat="1" applyFont="1" applyFill="1" applyBorder="1"/>
    <xf numFmtId="3" fontId="86" fillId="0" borderId="124" xfId="101" applyNumberFormat="1" applyFont="1" applyFill="1" applyBorder="1"/>
    <xf numFmtId="3" fontId="86" fillId="0" borderId="91" xfId="101" applyNumberFormat="1" applyFont="1" applyFill="1" applyBorder="1"/>
    <xf numFmtId="3" fontId="86" fillId="0" borderId="24" xfId="101" applyNumberFormat="1" applyFont="1" applyFill="1" applyBorder="1"/>
    <xf numFmtId="0" fontId="14" fillId="0" borderId="26" xfId="101" applyFont="1" applyFill="1" applyBorder="1" applyAlignment="1">
      <alignment horizontal="left"/>
    </xf>
    <xf numFmtId="3" fontId="14" fillId="0" borderId="90" xfId="101" applyNumberFormat="1" applyFont="1" applyFill="1" applyBorder="1"/>
    <xf numFmtId="0" fontId="86" fillId="0" borderId="40" xfId="101" applyFont="1" applyFill="1" applyBorder="1"/>
    <xf numFmtId="14" fontId="86" fillId="0" borderId="0" xfId="101" applyNumberFormat="1" applyFont="1" applyFill="1"/>
    <xf numFmtId="0" fontId="92" fillId="0" borderId="30" xfId="101" applyFont="1" applyFill="1" applyBorder="1"/>
    <xf numFmtId="0" fontId="14" fillId="0" borderId="26" xfId="101" applyFont="1" applyFill="1" applyBorder="1"/>
    <xf numFmtId="0" fontId="86" fillId="0" borderId="49" xfId="101" applyFont="1" applyFill="1" applyBorder="1"/>
    <xf numFmtId="3" fontId="86" fillId="0" borderId="83" xfId="101" applyNumberFormat="1" applyFont="1" applyFill="1" applyBorder="1"/>
    <xf numFmtId="164" fontId="86" fillId="0" borderId="83" xfId="101" applyNumberFormat="1" applyFont="1" applyFill="1" applyBorder="1"/>
    <xf numFmtId="3" fontId="86" fillId="0" borderId="56" xfId="101" applyNumberFormat="1" applyFont="1" applyFill="1" applyBorder="1"/>
    <xf numFmtId="0" fontId="14" fillId="0" borderId="17" xfId="101" applyFont="1" applyBorder="1"/>
    <xf numFmtId="0" fontId="14" fillId="0" borderId="22" xfId="101" applyFont="1" applyBorder="1"/>
    <xf numFmtId="165" fontId="14" fillId="0" borderId="44" xfId="101" applyNumberFormat="1" applyFont="1" applyBorder="1"/>
    <xf numFmtId="3" fontId="14" fillId="0" borderId="43" xfId="101" applyNumberFormat="1" applyFont="1" applyFill="1" applyBorder="1"/>
    <xf numFmtId="3" fontId="14" fillId="0" borderId="54" xfId="101" applyNumberFormat="1" applyFont="1" applyBorder="1"/>
    <xf numFmtId="0" fontId="14" fillId="0" borderId="20" xfId="101" applyFont="1" applyBorder="1"/>
    <xf numFmtId="0" fontId="86" fillId="0" borderId="96" xfId="101" applyFont="1" applyBorder="1"/>
    <xf numFmtId="2" fontId="86" fillId="0" borderId="96" xfId="101" applyNumberFormat="1" applyFont="1" applyBorder="1"/>
    <xf numFmtId="3" fontId="86" fillId="0" borderId="96" xfId="101" applyNumberFormat="1" applyFont="1" applyBorder="1"/>
    <xf numFmtId="3" fontId="14" fillId="0" borderId="82" xfId="101" applyNumberFormat="1" applyFont="1" applyBorder="1"/>
    <xf numFmtId="3" fontId="9" fillId="0" borderId="0" xfId="101" applyNumberFormat="1" applyFont="1"/>
    <xf numFmtId="0" fontId="134" fillId="0" borderId="0" xfId="101" applyFont="1"/>
    <xf numFmtId="0" fontId="86" fillId="0" borderId="0" xfId="101" applyFont="1" applyBorder="1"/>
    <xf numFmtId="0" fontId="87" fillId="0" borderId="0" xfId="101" applyFont="1"/>
    <xf numFmtId="0" fontId="134" fillId="0" borderId="0" xfId="101" applyFont="1" applyBorder="1"/>
    <xf numFmtId="0" fontId="3" fillId="28" borderId="45" xfId="0" applyFont="1" applyFill="1" applyBorder="1" applyAlignment="1">
      <alignment horizontal="center"/>
    </xf>
    <xf numFmtId="0" fontId="3" fillId="28" borderId="47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78" applyFont="1" applyFill="1" applyBorder="1" applyAlignment="1">
      <alignment horizontal="center"/>
    </xf>
    <xf numFmtId="0" fontId="67" fillId="0" borderId="0" xfId="104" applyFont="1"/>
    <xf numFmtId="0" fontId="6" fillId="0" borderId="0" xfId="104" applyFont="1"/>
    <xf numFmtId="0" fontId="4" fillId="0" borderId="0" xfId="104" applyFont="1"/>
    <xf numFmtId="0" fontId="3" fillId="0" borderId="0" xfId="104" applyFont="1"/>
    <xf numFmtId="0" fontId="3" fillId="0" borderId="0" xfId="104" applyFont="1" applyAlignment="1">
      <alignment horizontal="right"/>
    </xf>
    <xf numFmtId="0" fontId="41" fillId="0" borderId="84" xfId="104" applyFont="1" applyBorder="1" applyAlignment="1">
      <alignment horizontal="center"/>
    </xf>
    <xf numFmtId="0" fontId="41" fillId="0" borderId="23" xfId="104" applyFont="1" applyBorder="1" applyAlignment="1">
      <alignment horizontal="center"/>
    </xf>
    <xf numFmtId="0" fontId="41" fillId="0" borderId="53" xfId="104" applyFont="1" applyBorder="1" applyAlignment="1">
      <alignment horizontal="center"/>
    </xf>
    <xf numFmtId="0" fontId="65" fillId="0" borderId="0" xfId="104" applyFont="1"/>
    <xf numFmtId="0" fontId="41" fillId="0" borderId="69" xfId="104" applyFont="1" applyBorder="1" applyAlignment="1">
      <alignment horizontal="center"/>
    </xf>
    <xf numFmtId="0" fontId="65" fillId="0" borderId="18" xfId="104" applyFont="1" applyBorder="1"/>
    <xf numFmtId="0" fontId="41" fillId="0" borderId="87" xfId="104" applyFont="1" applyBorder="1" applyAlignment="1">
      <alignment horizontal="center"/>
    </xf>
    <xf numFmtId="0" fontId="41" fillId="0" borderId="70" xfId="104" applyFont="1" applyBorder="1" applyAlignment="1">
      <alignment horizontal="center"/>
    </xf>
    <xf numFmtId="0" fontId="65" fillId="0" borderId="19" xfId="104" applyFont="1" applyBorder="1"/>
    <xf numFmtId="0" fontId="41" fillId="0" borderId="70" xfId="104" applyFont="1" applyBorder="1" applyAlignment="1">
      <alignment horizontal="center" vertical="center" wrapText="1"/>
    </xf>
    <xf numFmtId="0" fontId="41" fillId="0" borderId="85" xfId="104" applyFont="1" applyBorder="1" applyAlignment="1">
      <alignment horizontal="center" vertical="center" wrapText="1"/>
    </xf>
    <xf numFmtId="0" fontId="41" fillId="0" borderId="85" xfId="104" applyFont="1" applyBorder="1" applyAlignment="1">
      <alignment horizontal="justify"/>
    </xf>
    <xf numFmtId="0" fontId="21" fillId="0" borderId="69" xfId="104" applyFont="1" applyBorder="1" applyAlignment="1">
      <alignment horizontal="center"/>
    </xf>
    <xf numFmtId="0" fontId="21" fillId="0" borderId="18" xfId="104" applyFont="1" applyBorder="1" applyAlignment="1">
      <alignment horizontal="center"/>
    </xf>
    <xf numFmtId="0" fontId="4" fillId="0" borderId="84" xfId="104" applyFont="1" applyBorder="1" applyAlignment="1">
      <alignment horizontal="center"/>
    </xf>
    <xf numFmtId="0" fontId="4" fillId="0" borderId="53" xfId="104" applyFont="1" applyBorder="1" applyAlignment="1">
      <alignment horizontal="center"/>
    </xf>
    <xf numFmtId="0" fontId="21" fillId="0" borderId="53" xfId="104" applyFont="1" applyBorder="1" applyAlignment="1">
      <alignment horizontal="center"/>
    </xf>
    <xf numFmtId="0" fontId="3" fillId="0" borderId="69" xfId="104" applyFont="1" applyBorder="1" applyAlignment="1">
      <alignment horizontal="center"/>
    </xf>
    <xf numFmtId="0" fontId="21" fillId="0" borderId="23" xfId="104" applyFont="1" applyBorder="1" applyAlignment="1">
      <alignment horizontal="center"/>
    </xf>
    <xf numFmtId="0" fontId="106" fillId="0" borderId="101" xfId="105" applyFont="1" applyBorder="1"/>
    <xf numFmtId="3" fontId="4" fillId="0" borderId="0" xfId="104" applyNumberFormat="1" applyFont="1"/>
    <xf numFmtId="0" fontId="106" fillId="0" borderId="26" xfId="105" applyFont="1" applyBorder="1"/>
    <xf numFmtId="0" fontId="106" fillId="0" borderId="26" xfId="105" applyFont="1" applyBorder="1" applyAlignment="1">
      <alignment wrapText="1"/>
    </xf>
    <xf numFmtId="0" fontId="106" fillId="0" borderId="57" xfId="105" applyFont="1" applyBorder="1"/>
    <xf numFmtId="3" fontId="21" fillId="0" borderId="78" xfId="104" applyNumberFormat="1" applyFont="1" applyBorder="1" applyAlignment="1">
      <alignment horizontal="center"/>
    </xf>
    <xf numFmtId="0" fontId="41" fillId="0" borderId="20" xfId="104" applyFont="1" applyBorder="1"/>
    <xf numFmtId="0" fontId="106" fillId="0" borderId="23" xfId="105" applyFont="1" applyBorder="1"/>
    <xf numFmtId="0" fontId="21" fillId="0" borderId="0" xfId="104" applyFont="1"/>
    <xf numFmtId="0" fontId="106" fillId="0" borderId="18" xfId="105" applyFont="1" applyBorder="1"/>
    <xf numFmtId="0" fontId="41" fillId="0" borderId="20" xfId="104" applyFont="1" applyBorder="1" applyAlignment="1">
      <alignment horizontal="justify"/>
    </xf>
    <xf numFmtId="3" fontId="21" fillId="0" borderId="78" xfId="104" applyNumberFormat="1" applyFont="1" applyFill="1" applyBorder="1" applyAlignment="1">
      <alignment horizontal="center"/>
    </xf>
    <xf numFmtId="3" fontId="21" fillId="0" borderId="69" xfId="104" applyNumberFormat="1" applyFont="1" applyBorder="1" applyAlignment="1">
      <alignment horizontal="center"/>
    </xf>
    <xf numFmtId="0" fontId="41" fillId="0" borderId="18" xfId="104" applyFont="1" applyBorder="1" applyAlignment="1">
      <alignment horizontal="justify"/>
    </xf>
    <xf numFmtId="3" fontId="3" fillId="0" borderId="84" xfId="104" applyNumberFormat="1" applyFont="1" applyBorder="1" applyAlignment="1">
      <alignment horizontal="center"/>
    </xf>
    <xf numFmtId="0" fontId="41" fillId="0" borderId="23" xfId="104" applyFont="1" applyBorder="1" applyAlignment="1">
      <alignment horizontal="justify"/>
    </xf>
    <xf numFmtId="3" fontId="3" fillId="0" borderId="78" xfId="104" applyNumberFormat="1" applyFont="1" applyBorder="1" applyAlignment="1">
      <alignment horizontal="center"/>
    </xf>
    <xf numFmtId="0" fontId="18" fillId="0" borderId="20" xfId="104" applyFont="1" applyBorder="1"/>
    <xf numFmtId="3" fontId="3" fillId="0" borderId="0" xfId="104" applyNumberFormat="1" applyFont="1"/>
    <xf numFmtId="0" fontId="4" fillId="0" borderId="46" xfId="104" applyFont="1" applyBorder="1"/>
    <xf numFmtId="3" fontId="4" fillId="0" borderId="46" xfId="104" applyNumberFormat="1" applyFont="1" applyBorder="1"/>
    <xf numFmtId="3" fontId="3" fillId="0" borderId="46" xfId="104" applyNumberFormat="1" applyFont="1" applyBorder="1"/>
    <xf numFmtId="3" fontId="6" fillId="0" borderId="0" xfId="104" applyNumberFormat="1" applyFont="1" applyFill="1" applyBorder="1"/>
    <xf numFmtId="0" fontId="4" fillId="0" borderId="0" xfId="104" applyFont="1" applyAlignment="1">
      <alignment horizontal="right"/>
    </xf>
    <xf numFmtId="3" fontId="73" fillId="0" borderId="0" xfId="104" applyNumberFormat="1" applyFont="1" applyFill="1"/>
    <xf numFmtId="0" fontId="6" fillId="0" borderId="0" xfId="104" applyFont="1" applyAlignment="1">
      <alignment horizontal="right"/>
    </xf>
    <xf numFmtId="0" fontId="4" fillId="0" borderId="0" xfId="104" applyFont="1" applyBorder="1"/>
    <xf numFmtId="3" fontId="73" fillId="0" borderId="0" xfId="104" applyNumberFormat="1" applyFont="1" applyFill="1" applyBorder="1"/>
    <xf numFmtId="49" fontId="4" fillId="0" borderId="0" xfId="104" applyNumberFormat="1" applyFont="1" applyAlignment="1">
      <alignment horizontal="right"/>
    </xf>
    <xf numFmtId="3" fontId="3" fillId="0" borderId="0" xfId="104" applyNumberFormat="1" applyFont="1" applyFill="1"/>
    <xf numFmtId="3" fontId="3" fillId="0" borderId="0" xfId="104" applyNumberFormat="1" applyFont="1" applyFill="1" applyBorder="1"/>
    <xf numFmtId="3" fontId="3" fillId="0" borderId="0" xfId="104" applyNumberFormat="1" applyFont="1" applyBorder="1"/>
    <xf numFmtId="0" fontId="4" fillId="0" borderId="0" xfId="104" applyFont="1" applyAlignment="1">
      <alignment horizontal="left"/>
    </xf>
    <xf numFmtId="3" fontId="4" fillId="0" borderId="0" xfId="104" applyNumberFormat="1" applyFont="1" applyBorder="1"/>
    <xf numFmtId="49" fontId="4" fillId="0" borderId="0" xfId="104" applyNumberFormat="1" applyFont="1" applyAlignment="1">
      <alignment horizontal="left"/>
    </xf>
    <xf numFmtId="0" fontId="3" fillId="0" borderId="0" xfId="104" applyFont="1" applyBorder="1"/>
    <xf numFmtId="3" fontId="4" fillId="0" borderId="0" xfId="104" applyNumberFormat="1" applyFont="1" applyFill="1" applyBorder="1"/>
    <xf numFmtId="0" fontId="21" fillId="0" borderId="0" xfId="0" applyFont="1" applyFill="1" applyBorder="1"/>
    <xf numFmtId="0" fontId="63" fillId="0" borderId="23" xfId="0" applyFont="1" applyFill="1" applyBorder="1" applyAlignment="1" applyProtection="1">
      <alignment horizontal="left"/>
    </xf>
    <xf numFmtId="0" fontId="67" fillId="0" borderId="46" xfId="0" applyFont="1" applyFill="1" applyBorder="1"/>
    <xf numFmtId="0" fontId="81" fillId="0" borderId="46" xfId="0" applyFont="1" applyFill="1" applyBorder="1"/>
    <xf numFmtId="0" fontId="63" fillId="0" borderId="84" xfId="0" applyFont="1" applyFill="1" applyBorder="1" applyAlignment="1">
      <alignment horizontal="center"/>
    </xf>
    <xf numFmtId="0" fontId="63" fillId="0" borderId="84" xfId="0" applyFont="1" applyBorder="1" applyAlignment="1">
      <alignment horizontal="center"/>
    </xf>
    <xf numFmtId="0" fontId="67" fillId="0" borderId="19" xfId="0" applyFont="1" applyFill="1" applyBorder="1"/>
    <xf numFmtId="0" fontId="63" fillId="0" borderId="16" xfId="0" applyFont="1" applyFill="1" applyBorder="1" applyAlignment="1" applyProtection="1">
      <alignment horizontal="left"/>
    </xf>
    <xf numFmtId="0" fontId="63" fillId="0" borderId="16" xfId="0" applyFont="1" applyFill="1" applyBorder="1" applyAlignment="1" applyProtection="1">
      <alignment horizontal="right"/>
    </xf>
    <xf numFmtId="0" fontId="63" fillId="0" borderId="77" xfId="0" applyFont="1" applyFill="1" applyBorder="1" applyAlignment="1">
      <alignment horizontal="center"/>
    </xf>
    <xf numFmtId="0" fontId="63" fillId="0" borderId="77" xfId="0" applyFont="1" applyBorder="1" applyAlignment="1">
      <alignment horizontal="center"/>
    </xf>
    <xf numFmtId="0" fontId="63" fillId="0" borderId="70" xfId="0" applyFont="1" applyFill="1" applyBorder="1" applyAlignment="1">
      <alignment horizontal="center"/>
    </xf>
    <xf numFmtId="0" fontId="63" fillId="0" borderId="70" xfId="0" applyFont="1" applyBorder="1" applyAlignment="1">
      <alignment horizontal="center"/>
    </xf>
    <xf numFmtId="0" fontId="81" fillId="0" borderId="23" xfId="0" applyFont="1" applyFill="1" applyBorder="1"/>
    <xf numFmtId="0" fontId="81" fillId="0" borderId="46" xfId="0" applyFont="1" applyFill="1" applyBorder="1" applyAlignment="1" applyProtection="1">
      <alignment horizontal="left"/>
    </xf>
    <xf numFmtId="0" fontId="63" fillId="0" borderId="46" xfId="0" applyFont="1" applyFill="1" applyBorder="1" applyAlignment="1" applyProtection="1">
      <alignment horizontal="left"/>
    </xf>
    <xf numFmtId="0" fontId="63" fillId="0" borderId="53" xfId="0" applyFont="1" applyFill="1" applyBorder="1" applyAlignment="1" applyProtection="1">
      <alignment horizontal="left"/>
    </xf>
    <xf numFmtId="3" fontId="63" fillId="0" borderId="84" xfId="0" applyNumberFormat="1" applyFont="1" applyFill="1" applyBorder="1" applyProtection="1"/>
    <xf numFmtId="3" fontId="63" fillId="0" borderId="46" xfId="0" applyNumberFormat="1" applyFont="1" applyFill="1" applyBorder="1" applyProtection="1"/>
    <xf numFmtId="0" fontId="79" fillId="0" borderId="18" xfId="0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79" fillId="0" borderId="16" xfId="0" applyFont="1" applyFill="1" applyBorder="1" applyProtection="1"/>
    <xf numFmtId="3" fontId="79" fillId="0" borderId="85" xfId="0" applyNumberFormat="1" applyFont="1" applyFill="1" applyBorder="1" applyProtection="1">
      <protection locked="0"/>
    </xf>
    <xf numFmtId="3" fontId="79" fillId="0" borderId="70" xfId="0" applyNumberFormat="1" applyFont="1" applyFill="1" applyBorder="1"/>
    <xf numFmtId="3" fontId="79" fillId="0" borderId="16" xfId="0" applyNumberFormat="1" applyFont="1" applyFill="1" applyBorder="1"/>
    <xf numFmtId="0" fontId="79" fillId="0" borderId="50" xfId="0" applyFont="1" applyFill="1" applyBorder="1" applyProtection="1"/>
    <xf numFmtId="0" fontId="138" fillId="0" borderId="50" xfId="0" applyFont="1" applyFill="1" applyBorder="1" applyProtection="1"/>
    <xf numFmtId="3" fontId="138" fillId="0" borderId="86" xfId="0" applyNumberFormat="1" applyFont="1" applyFill="1" applyBorder="1" applyProtection="1">
      <protection locked="0"/>
    </xf>
    <xf numFmtId="3" fontId="138" fillId="0" borderId="38" xfId="0" applyNumberFormat="1" applyFont="1" applyFill="1" applyBorder="1"/>
    <xf numFmtId="0" fontId="79" fillId="0" borderId="0" xfId="0" applyFont="1" applyFill="1" applyBorder="1" applyProtection="1"/>
    <xf numFmtId="0" fontId="67" fillId="0" borderId="86" xfId="0" applyFont="1" applyFill="1" applyBorder="1" applyProtection="1"/>
    <xf numFmtId="3" fontId="139" fillId="0" borderId="76" xfId="0" applyNumberFormat="1" applyFont="1" applyFill="1" applyBorder="1"/>
    <xf numFmtId="3" fontId="139" fillId="0" borderId="50" xfId="0" applyNumberFormat="1" applyFont="1" applyFill="1" applyBorder="1"/>
    <xf numFmtId="4" fontId="67" fillId="0" borderId="76" xfId="0" applyNumberFormat="1" applyFont="1" applyFill="1" applyBorder="1" applyProtection="1"/>
    <xf numFmtId="0" fontId="67" fillId="0" borderId="80" xfId="0" applyFont="1" applyFill="1" applyBorder="1" applyProtection="1"/>
    <xf numFmtId="3" fontId="79" fillId="0" borderId="38" xfId="0" applyNumberFormat="1" applyFont="1" applyFill="1" applyBorder="1"/>
    <xf numFmtId="0" fontId="139" fillId="0" borderId="50" xfId="0" applyFont="1" applyFill="1" applyBorder="1" applyAlignment="1" applyProtection="1">
      <alignment wrapText="1"/>
    </xf>
    <xf numFmtId="4" fontId="81" fillId="0" borderId="76" xfId="0" applyNumberFormat="1" applyFont="1" applyFill="1" applyBorder="1" applyProtection="1"/>
    <xf numFmtId="0" fontId="79" fillId="0" borderId="37" xfId="0" applyFont="1" applyFill="1" applyBorder="1"/>
    <xf numFmtId="3" fontId="79" fillId="0" borderId="80" xfId="0" applyNumberFormat="1" applyFont="1" applyFill="1" applyBorder="1"/>
    <xf numFmtId="3" fontId="79" fillId="0" borderId="76" xfId="0" applyNumberFormat="1" applyFont="1" applyFill="1" applyBorder="1"/>
    <xf numFmtId="3" fontId="79" fillId="0" borderId="50" xfId="0" applyNumberFormat="1" applyFont="1" applyFill="1" applyBorder="1"/>
    <xf numFmtId="0" fontId="67" fillId="0" borderId="18" xfId="0" applyFont="1" applyFill="1" applyBorder="1" applyProtection="1"/>
    <xf numFmtId="0" fontId="67" fillId="0" borderId="50" xfId="0" applyFont="1" applyFill="1" applyBorder="1" applyProtection="1"/>
    <xf numFmtId="0" fontId="67" fillId="0" borderId="37" xfId="0" applyFont="1" applyFill="1" applyBorder="1" applyProtection="1"/>
    <xf numFmtId="3" fontId="67" fillId="0" borderId="80" xfId="0" applyNumberFormat="1" applyFont="1" applyFill="1" applyBorder="1" applyProtection="1">
      <protection locked="0"/>
    </xf>
    <xf numFmtId="3" fontId="67" fillId="0" borderId="38" xfId="0" applyNumberFormat="1" applyFont="1" applyFill="1" applyBorder="1"/>
    <xf numFmtId="3" fontId="67" fillId="0" borderId="76" xfId="0" applyNumberFormat="1" applyFont="1" applyFill="1" applyBorder="1"/>
    <xf numFmtId="3" fontId="67" fillId="0" borderId="50" xfId="0" applyNumberFormat="1" applyFont="1" applyFill="1" applyBorder="1"/>
    <xf numFmtId="3" fontId="67" fillId="0" borderId="40" xfId="0" applyNumberFormat="1" applyFont="1" applyFill="1" applyBorder="1"/>
    <xf numFmtId="3" fontId="67" fillId="0" borderId="74" xfId="0" applyNumberFormat="1" applyFont="1" applyFill="1" applyBorder="1"/>
    <xf numFmtId="3" fontId="67" fillId="0" borderId="37" xfId="0" applyNumberFormat="1" applyFont="1" applyFill="1" applyBorder="1"/>
    <xf numFmtId="0" fontId="79" fillId="0" borderId="37" xfId="0" applyFont="1" applyFill="1" applyBorder="1" applyProtection="1"/>
    <xf numFmtId="3" fontId="79" fillId="0" borderId="80" xfId="0" applyNumberFormat="1" applyFont="1" applyFill="1" applyBorder="1" applyProtection="1">
      <protection locked="0"/>
    </xf>
    <xf numFmtId="3" fontId="79" fillId="0" borderId="40" xfId="0" applyNumberFormat="1" applyFont="1" applyFill="1" applyBorder="1"/>
    <xf numFmtId="3" fontId="79" fillId="0" borderId="74" xfId="0" applyNumberFormat="1" applyFont="1" applyFill="1" applyBorder="1"/>
    <xf numFmtId="3" fontId="79" fillId="0" borderId="37" xfId="0" applyNumberFormat="1" applyFont="1" applyFill="1" applyBorder="1"/>
    <xf numFmtId="4" fontId="81" fillId="0" borderId="74" xfId="0" applyNumberFormat="1" applyFont="1" applyFill="1" applyBorder="1" applyProtection="1"/>
    <xf numFmtId="0" fontId="67" fillId="0" borderId="0" xfId="0" applyFont="1" applyFill="1" applyBorder="1" applyProtection="1"/>
    <xf numFmtId="0" fontId="67" fillId="0" borderId="80" xfId="0" applyFont="1" applyFill="1" applyBorder="1" applyAlignment="1">
      <alignment horizontal="left"/>
    </xf>
    <xf numFmtId="3" fontId="67" fillId="0" borderId="80" xfId="0" applyNumberFormat="1" applyFont="1" applyFill="1" applyBorder="1"/>
    <xf numFmtId="4" fontId="67" fillId="0" borderId="74" xfId="0" applyNumberFormat="1" applyFont="1" applyFill="1" applyBorder="1" applyProtection="1"/>
    <xf numFmtId="0" fontId="67" fillId="0" borderId="50" xfId="0" applyFont="1" applyFill="1" applyBorder="1" applyAlignment="1">
      <alignment horizontal="left"/>
    </xf>
    <xf numFmtId="0" fontId="67" fillId="0" borderId="86" xfId="0" applyFont="1" applyFill="1" applyBorder="1" applyAlignment="1">
      <alignment horizontal="left"/>
    </xf>
    <xf numFmtId="0" fontId="67" fillId="0" borderId="66" xfId="0" applyFont="1" applyFill="1" applyBorder="1" applyProtection="1"/>
    <xf numFmtId="0" fontId="67" fillId="0" borderId="66" xfId="0" applyFont="1" applyFill="1" applyBorder="1" applyAlignment="1">
      <alignment horizontal="left"/>
    </xf>
    <xf numFmtId="0" fontId="67" fillId="0" borderId="75" xfId="0" applyFont="1" applyFill="1" applyBorder="1" applyAlignment="1">
      <alignment horizontal="left"/>
    </xf>
    <xf numFmtId="3" fontId="67" fillId="0" borderId="62" xfId="0" applyNumberFormat="1" applyFont="1" applyFill="1" applyBorder="1"/>
    <xf numFmtId="3" fontId="67" fillId="0" borderId="72" xfId="0" applyNumberFormat="1" applyFont="1" applyFill="1" applyBorder="1"/>
    <xf numFmtId="3" fontId="67" fillId="0" borderId="66" xfId="0" applyNumberFormat="1" applyFont="1" applyFill="1" applyBorder="1"/>
    <xf numFmtId="4" fontId="67" fillId="0" borderId="72" xfId="0" applyNumberFormat="1" applyFont="1" applyFill="1" applyBorder="1" applyProtection="1"/>
    <xf numFmtId="0" fontId="81" fillId="0" borderId="18" xfId="0" applyFont="1" applyFill="1" applyBorder="1" applyProtection="1"/>
    <xf numFmtId="0" fontId="81" fillId="0" borderId="37" xfId="0" applyFont="1" applyFill="1" applyBorder="1" applyProtection="1"/>
    <xf numFmtId="0" fontId="81" fillId="0" borderId="37" xfId="0" applyFont="1" applyFill="1" applyBorder="1" applyAlignment="1">
      <alignment horizontal="left"/>
    </xf>
    <xf numFmtId="0" fontId="81" fillId="0" borderId="80" xfId="0" applyFont="1" applyFill="1" applyBorder="1" applyAlignment="1">
      <alignment horizontal="left"/>
    </xf>
    <xf numFmtId="3" fontId="81" fillId="0" borderId="40" xfId="0" applyNumberFormat="1" applyFont="1" applyFill="1" applyBorder="1"/>
    <xf numFmtId="3" fontId="81" fillId="0" borderId="74" xfId="0" applyNumberFormat="1" applyFont="1" applyFill="1" applyBorder="1"/>
    <xf numFmtId="3" fontId="81" fillId="0" borderId="37" xfId="0" applyNumberFormat="1" applyFont="1" applyFill="1" applyBorder="1"/>
    <xf numFmtId="0" fontId="139" fillId="0" borderId="18" xfId="0" applyFont="1" applyFill="1" applyBorder="1"/>
    <xf numFmtId="0" fontId="67" fillId="0" borderId="16" xfId="0" applyFont="1" applyFill="1" applyBorder="1" applyAlignment="1">
      <alignment horizontal="left"/>
    </xf>
    <xf numFmtId="0" fontId="67" fillId="0" borderId="126" xfId="0" applyFont="1" applyFill="1" applyBorder="1" applyAlignment="1" applyProtection="1">
      <alignment horizontal="left"/>
    </xf>
    <xf numFmtId="0" fontId="67" fillId="0" borderId="127" xfId="0" applyFont="1" applyFill="1" applyBorder="1" applyAlignment="1" applyProtection="1">
      <alignment horizontal="left"/>
    </xf>
    <xf numFmtId="3" fontId="67" fillId="0" borderId="140" xfId="0" applyNumberFormat="1" applyFont="1" applyFill="1" applyBorder="1" applyProtection="1"/>
    <xf numFmtId="3" fontId="67" fillId="0" borderId="89" xfId="0" applyNumberFormat="1" applyFont="1" applyFill="1" applyBorder="1" applyProtection="1"/>
    <xf numFmtId="3" fontId="67" fillId="0" borderId="126" xfId="0" applyNumberFormat="1" applyFont="1" applyFill="1" applyBorder="1" applyProtection="1"/>
    <xf numFmtId="4" fontId="139" fillId="0" borderId="89" xfId="0" applyNumberFormat="1" applyFont="1" applyFill="1" applyBorder="1" applyProtection="1"/>
    <xf numFmtId="0" fontId="81" fillId="0" borderId="18" xfId="0" applyFont="1" applyFill="1" applyBorder="1"/>
    <xf numFmtId="0" fontId="63" fillId="0" borderId="85" xfId="0" applyFont="1" applyFill="1" applyBorder="1" applyAlignment="1" applyProtection="1">
      <alignment horizontal="left"/>
    </xf>
    <xf numFmtId="3" fontId="63" fillId="0" borderId="19" xfId="0" applyNumberFormat="1" applyFont="1" applyFill="1" applyBorder="1" applyProtection="1"/>
    <xf numFmtId="3" fontId="63" fillId="0" borderId="70" xfId="0" applyNumberFormat="1" applyFont="1" applyFill="1" applyBorder="1" applyProtection="1"/>
    <xf numFmtId="3" fontId="63" fillId="0" borderId="16" xfId="0" applyNumberFormat="1" applyFont="1" applyFill="1" applyBorder="1" applyProtection="1"/>
    <xf numFmtId="4" fontId="67" fillId="0" borderId="70" xfId="0" applyNumberFormat="1" applyFont="1" applyFill="1" applyBorder="1" applyProtection="1"/>
    <xf numFmtId="0" fontId="67" fillId="0" borderId="96" xfId="0" applyFont="1" applyFill="1" applyBorder="1" applyAlignment="1">
      <alignment horizontal="left"/>
    </xf>
    <xf numFmtId="0" fontId="67" fillId="0" borderId="96" xfId="0" applyFont="1" applyFill="1" applyBorder="1" applyAlignment="1" applyProtection="1">
      <alignment horizontal="left"/>
    </xf>
    <xf numFmtId="0" fontId="67" fillId="0" borderId="82" xfId="0" applyFont="1" applyFill="1" applyBorder="1" applyAlignment="1" applyProtection="1">
      <alignment horizontal="left"/>
    </xf>
    <xf numFmtId="3" fontId="67" fillId="0" borderId="20" xfId="0" applyNumberFormat="1" applyFont="1" applyFill="1" applyBorder="1" applyProtection="1"/>
    <xf numFmtId="3" fontId="67" fillId="0" borderId="78" xfId="0" applyNumberFormat="1" applyFont="1" applyFill="1" applyBorder="1" applyProtection="1"/>
    <xf numFmtId="3" fontId="67" fillId="0" borderId="96" xfId="0" applyNumberFormat="1" applyFont="1" applyFill="1" applyBorder="1" applyProtection="1"/>
    <xf numFmtId="4" fontId="139" fillId="0" borderId="78" xfId="0" applyNumberFormat="1" applyFont="1" applyFill="1" applyBorder="1" applyProtection="1"/>
    <xf numFmtId="0" fontId="67" fillId="0" borderId="18" xfId="0" applyFont="1" applyFill="1" applyBorder="1"/>
    <xf numFmtId="0" fontId="140" fillId="0" borderId="0" xfId="0" applyFont="1" applyFill="1" applyBorder="1" applyAlignment="1" applyProtection="1"/>
    <xf numFmtId="3" fontId="139" fillId="0" borderId="50" xfId="0" applyNumberFormat="1" applyFont="1" applyFill="1" applyBorder="1" applyAlignment="1" applyProtection="1"/>
    <xf numFmtId="3" fontId="67" fillId="0" borderId="76" xfId="0" applyNumberFormat="1" applyFont="1" applyFill="1" applyBorder="1" applyProtection="1"/>
    <xf numFmtId="3" fontId="67" fillId="0" borderId="50" xfId="0" applyNumberFormat="1" applyFont="1" applyFill="1" applyBorder="1" applyProtection="1"/>
    <xf numFmtId="3" fontId="139" fillId="0" borderId="37" xfId="0" applyNumberFormat="1" applyFont="1" applyFill="1" applyBorder="1" applyAlignment="1" applyProtection="1"/>
    <xf numFmtId="0" fontId="67" fillId="0" borderId="80" xfId="0" applyFont="1" applyFill="1" applyBorder="1"/>
    <xf numFmtId="0" fontId="67" fillId="0" borderId="37" xfId="78" applyFont="1" applyFill="1" applyBorder="1" applyAlignment="1">
      <alignment horizontal="justify"/>
    </xf>
    <xf numFmtId="3" fontId="67" fillId="0" borderId="74" xfId="0" applyNumberFormat="1" applyFont="1" applyFill="1" applyBorder="1" applyProtection="1"/>
    <xf numFmtId="3" fontId="67" fillId="0" borderId="37" xfId="0" applyNumberFormat="1" applyFont="1" applyFill="1" applyBorder="1" applyProtection="1"/>
    <xf numFmtId="3" fontId="67" fillId="0" borderId="75" xfId="0" applyNumberFormat="1" applyFont="1" applyFill="1" applyBorder="1" applyProtection="1">
      <protection locked="0"/>
    </xf>
    <xf numFmtId="0" fontId="81" fillId="0" borderId="19" xfId="0" applyFont="1" applyFill="1" applyBorder="1"/>
    <xf numFmtId="3" fontId="63" fillId="0" borderId="70" xfId="0" applyNumberFormat="1" applyFont="1" applyFill="1" applyBorder="1" applyProtection="1">
      <protection locked="0"/>
    </xf>
    <xf numFmtId="0" fontId="63" fillId="0" borderId="46" xfId="0" applyFont="1" applyFill="1" applyBorder="1" applyAlignment="1">
      <alignment horizontal="center"/>
    </xf>
    <xf numFmtId="3" fontId="63" fillId="0" borderId="84" xfId="0" applyNumberFormat="1" applyFont="1" applyFill="1" applyBorder="1" applyProtection="1">
      <protection locked="0"/>
    </xf>
    <xf numFmtId="3" fontId="63" fillId="0" borderId="46" xfId="0" applyNumberFormat="1" applyFont="1" applyFill="1" applyBorder="1" applyProtection="1">
      <protection locked="0"/>
    </xf>
    <xf numFmtId="4" fontId="63" fillId="0" borderId="53" xfId="0" applyNumberFormat="1" applyFont="1" applyFill="1" applyBorder="1" applyProtection="1"/>
    <xf numFmtId="0" fontId="63" fillId="0" borderId="18" xfId="0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87" xfId="0" applyFont="1" applyFill="1" applyBorder="1" applyAlignment="1" applyProtection="1">
      <alignment horizontal="left"/>
    </xf>
    <xf numFmtId="3" fontId="63" fillId="0" borderId="69" xfId="0" applyNumberFormat="1" applyFont="1" applyFill="1" applyBorder="1" applyProtection="1">
      <protection locked="0"/>
    </xf>
    <xf numFmtId="3" fontId="63" fillId="0" borderId="0" xfId="0" applyNumberFormat="1" applyFont="1" applyFill="1" applyBorder="1" applyProtection="1">
      <protection locked="0"/>
    </xf>
    <xf numFmtId="4" fontId="63" fillId="0" borderId="87" xfId="0" applyNumberFormat="1" applyFont="1" applyFill="1" applyBorder="1" applyProtection="1"/>
    <xf numFmtId="3" fontId="67" fillId="0" borderId="74" xfId="0" applyNumberFormat="1" applyFont="1" applyFill="1" applyBorder="1" applyProtection="1">
      <protection locked="0"/>
    </xf>
    <xf numFmtId="4" fontId="67" fillId="0" borderId="80" xfId="0" applyNumberFormat="1" applyFont="1" applyFill="1" applyBorder="1" applyProtection="1"/>
    <xf numFmtId="4" fontId="63" fillId="0" borderId="74" xfId="0" applyNumberFormat="1" applyFont="1" applyFill="1" applyBorder="1" applyProtection="1"/>
    <xf numFmtId="0" fontId="67" fillId="0" borderId="66" xfId="78" applyFont="1" applyFill="1" applyBorder="1" applyAlignment="1">
      <alignment horizontal="left"/>
    </xf>
    <xf numFmtId="0" fontId="67" fillId="0" borderId="66" xfId="78" applyFont="1" applyFill="1" applyBorder="1" applyAlignment="1">
      <alignment horizontal="justify"/>
    </xf>
    <xf numFmtId="0" fontId="67" fillId="0" borderId="75" xfId="0" applyFont="1" applyFill="1" applyBorder="1"/>
    <xf numFmtId="3" fontId="67" fillId="0" borderId="72" xfId="0" applyNumberFormat="1" applyFont="1" applyFill="1" applyBorder="1" applyProtection="1"/>
    <xf numFmtId="0" fontId="67" fillId="0" borderId="101" xfId="0" applyFont="1" applyFill="1" applyBorder="1"/>
    <xf numFmtId="0" fontId="140" fillId="0" borderId="93" xfId="0" applyFont="1" applyFill="1" applyBorder="1" applyAlignment="1" applyProtection="1"/>
    <xf numFmtId="0" fontId="67" fillId="0" borderId="93" xfId="78" applyFont="1" applyFill="1" applyBorder="1" applyAlignment="1">
      <alignment horizontal="left"/>
    </xf>
    <xf numFmtId="0" fontId="67" fillId="0" borderId="103" xfId="0" applyFont="1" applyFill="1" applyBorder="1"/>
    <xf numFmtId="3" fontId="67" fillId="0" borderId="119" xfId="0" applyNumberFormat="1" applyFont="1" applyFill="1" applyBorder="1" applyProtection="1"/>
    <xf numFmtId="4" fontId="67" fillId="0" borderId="119" xfId="0" applyNumberFormat="1" applyFont="1" applyFill="1" applyBorder="1" applyProtection="1"/>
    <xf numFmtId="4" fontId="63" fillId="0" borderId="85" xfId="0" applyNumberFormat="1" applyFont="1" applyFill="1" applyBorder="1" applyProtection="1"/>
    <xf numFmtId="0" fontId="140" fillId="0" borderId="0" xfId="0" applyFont="1" applyFill="1" applyBorder="1" applyAlignment="1" applyProtection="1">
      <alignment horizontal="left"/>
    </xf>
    <xf numFmtId="0" fontId="63" fillId="28" borderId="84" xfId="0" applyFont="1" applyFill="1" applyBorder="1" applyAlignment="1">
      <alignment horizontal="center"/>
    </xf>
    <xf numFmtId="3" fontId="67" fillId="0" borderId="66" xfId="0" applyNumberFormat="1" applyFont="1" applyFill="1" applyBorder="1" applyProtection="1"/>
    <xf numFmtId="0" fontId="67" fillId="0" borderId="0" xfId="78" applyFont="1" applyFill="1" applyBorder="1" applyAlignment="1">
      <alignment horizontal="left"/>
    </xf>
    <xf numFmtId="0" fontId="67" fillId="0" borderId="87" xfId="0" applyFont="1" applyFill="1" applyBorder="1"/>
    <xf numFmtId="3" fontId="67" fillId="0" borderId="69" xfId="0" applyNumberFormat="1" applyFont="1" applyFill="1" applyBorder="1" applyProtection="1"/>
    <xf numFmtId="3" fontId="67" fillId="0" borderId="0" xfId="0" applyNumberFormat="1" applyFont="1" applyFill="1" applyBorder="1" applyProtection="1"/>
    <xf numFmtId="0" fontId="67" fillId="0" borderId="50" xfId="0" applyFont="1" applyFill="1" applyBorder="1"/>
    <xf numFmtId="4" fontId="67" fillId="0" borderId="86" xfId="0" applyNumberFormat="1" applyFont="1" applyFill="1" applyBorder="1" applyProtection="1"/>
    <xf numFmtId="0" fontId="63" fillId="0" borderId="37" xfId="0" applyFont="1" applyFill="1" applyBorder="1" applyAlignment="1">
      <alignment horizontal="center"/>
    </xf>
    <xf numFmtId="0" fontId="63" fillId="0" borderId="80" xfId="0" applyFont="1" applyFill="1" applyBorder="1" applyAlignment="1" applyProtection="1">
      <alignment horizontal="left"/>
    </xf>
    <xf numFmtId="3" fontId="63" fillId="0" borderId="74" xfId="0" applyNumberFormat="1" applyFont="1" applyFill="1" applyBorder="1" applyProtection="1">
      <protection locked="0"/>
    </xf>
    <xf numFmtId="3" fontId="63" fillId="0" borderId="37" xfId="0" applyNumberFormat="1" applyFont="1" applyFill="1" applyBorder="1" applyProtection="1">
      <protection locked="0"/>
    </xf>
    <xf numFmtId="4" fontId="63" fillId="0" borderId="80" xfId="0" applyNumberFormat="1" applyFont="1" applyFill="1" applyBorder="1" applyProtection="1"/>
    <xf numFmtId="0" fontId="81" fillId="0" borderId="17" xfId="0" applyFont="1" applyFill="1" applyBorder="1"/>
    <xf numFmtId="0" fontId="81" fillId="0" borderId="22" xfId="0" applyFont="1" applyFill="1" applyBorder="1" applyAlignment="1" applyProtection="1">
      <alignment horizontal="left"/>
    </xf>
    <xf numFmtId="0" fontId="63" fillId="0" borderId="22" xfId="0" applyFont="1" applyFill="1" applyBorder="1" applyAlignment="1" applyProtection="1">
      <alignment horizontal="left"/>
    </xf>
    <xf numFmtId="3" fontId="63" fillId="0" borderId="77" xfId="0" applyNumberFormat="1" applyFont="1" applyFill="1" applyBorder="1" applyProtection="1"/>
    <xf numFmtId="4" fontId="63" fillId="0" borderId="77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63" fillId="0" borderId="0" xfId="0" applyFont="1" applyFill="1" applyBorder="1" applyAlignment="1" applyProtection="1">
      <alignment horizontal="left"/>
    </xf>
    <xf numFmtId="3" fontId="63" fillId="0" borderId="69" xfId="0" applyNumberFormat="1" applyFont="1" applyFill="1" applyBorder="1" applyProtection="1"/>
    <xf numFmtId="4" fontId="63" fillId="0" borderId="84" xfId="0" applyNumberFormat="1" applyFont="1" applyFill="1" applyBorder="1" applyProtection="1"/>
    <xf numFmtId="3" fontId="63" fillId="0" borderId="76" xfId="0" applyNumberFormat="1" applyFont="1" applyFill="1" applyBorder="1" applyProtection="1"/>
    <xf numFmtId="4" fontId="63" fillId="0" borderId="76" xfId="0" applyNumberFormat="1" applyFont="1" applyFill="1" applyBorder="1" applyProtection="1"/>
    <xf numFmtId="0" fontId="67" fillId="0" borderId="0" xfId="0" applyFont="1" applyFill="1" applyBorder="1" applyAlignment="1">
      <alignment horizontal="left"/>
    </xf>
    <xf numFmtId="3" fontId="139" fillId="0" borderId="76" xfId="0" applyNumberFormat="1" applyFont="1" applyFill="1" applyBorder="1" applyProtection="1">
      <protection locked="0"/>
    </xf>
    <xf numFmtId="4" fontId="139" fillId="0" borderId="74" xfId="0" applyNumberFormat="1" applyFont="1" applyFill="1" applyBorder="1" applyProtection="1"/>
    <xf numFmtId="3" fontId="139" fillId="0" borderId="74" xfId="0" applyNumberFormat="1" applyFont="1" applyFill="1" applyBorder="1" applyProtection="1">
      <protection locked="0"/>
    </xf>
    <xf numFmtId="4" fontId="139" fillId="0" borderId="69" xfId="0" applyNumberFormat="1" applyFont="1" applyFill="1" applyBorder="1" applyProtection="1"/>
    <xf numFmtId="0" fontId="67" fillId="0" borderId="50" xfId="78" applyFont="1" applyFill="1" applyBorder="1" applyAlignment="1">
      <alignment horizontal="left"/>
    </xf>
    <xf numFmtId="0" fontId="67" fillId="0" borderId="37" xfId="0" applyFont="1" applyFill="1" applyBorder="1"/>
    <xf numFmtId="3" fontId="139" fillId="0" borderId="110" xfId="0" applyNumberFormat="1" applyFont="1" applyFill="1" applyBorder="1" applyProtection="1">
      <protection locked="0"/>
    </xf>
    <xf numFmtId="0" fontId="63" fillId="0" borderId="17" xfId="0" applyFont="1" applyFill="1" applyBorder="1" applyAlignment="1">
      <alignment horizontal="center"/>
    </xf>
    <xf numFmtId="0" fontId="63" fillId="0" borderId="22" xfId="0" applyFont="1" applyFill="1" applyBorder="1" applyAlignment="1">
      <alignment horizontal="center"/>
    </xf>
    <xf numFmtId="3" fontId="63" fillId="0" borderId="77" xfId="0" applyNumberFormat="1" applyFont="1" applyFill="1" applyBorder="1" applyProtection="1">
      <protection locked="0"/>
    </xf>
    <xf numFmtId="4" fontId="81" fillId="0" borderId="77" xfId="0" applyNumberFormat="1" applyFont="1" applyFill="1" applyBorder="1" applyProtection="1"/>
    <xf numFmtId="0" fontId="67" fillId="0" borderId="53" xfId="0" applyFont="1" applyFill="1" applyBorder="1"/>
    <xf numFmtId="0" fontId="67" fillId="0" borderId="84" xfId="0" applyFont="1" applyFill="1" applyBorder="1"/>
    <xf numFmtId="0" fontId="67" fillId="0" borderId="69" xfId="0" applyFont="1" applyFill="1" applyBorder="1"/>
    <xf numFmtId="0" fontId="140" fillId="0" borderId="18" xfId="0" applyFont="1" applyFill="1" applyBorder="1" applyAlignment="1" applyProtection="1">
      <alignment horizontal="left"/>
    </xf>
    <xf numFmtId="0" fontId="67" fillId="0" borderId="0" xfId="0" applyFont="1" applyFill="1" applyBorder="1" applyAlignment="1" applyProtection="1">
      <alignment horizontal="left"/>
    </xf>
    <xf numFmtId="3" fontId="63" fillId="0" borderId="0" xfId="0" applyNumberFormat="1" applyFont="1" applyFill="1" applyBorder="1" applyProtection="1"/>
    <xf numFmtId="3" fontId="67" fillId="0" borderId="76" xfId="0" applyNumberFormat="1" applyFont="1" applyFill="1" applyBorder="1" applyProtection="1">
      <protection locked="0"/>
    </xf>
    <xf numFmtId="0" fontId="67" fillId="0" borderId="37" xfId="0" applyFont="1" applyFill="1" applyBorder="1" applyAlignment="1" applyProtection="1">
      <alignment horizontal="left"/>
    </xf>
    <xf numFmtId="0" fontId="139" fillId="0" borderId="37" xfId="0" applyFont="1" applyFill="1" applyBorder="1" applyAlignment="1" applyProtection="1">
      <alignment horizontal="left"/>
    </xf>
    <xf numFmtId="0" fontId="140" fillId="0" borderId="37" xfId="0" applyFont="1" applyFill="1" applyBorder="1" applyAlignment="1" applyProtection="1">
      <alignment horizontal="left"/>
    </xf>
    <xf numFmtId="3" fontId="63" fillId="0" borderId="37" xfId="0" applyNumberFormat="1" applyFont="1" applyFill="1" applyBorder="1" applyProtection="1"/>
    <xf numFmtId="0" fontId="63" fillId="0" borderId="0" xfId="0" applyFont="1" applyFill="1" applyBorder="1"/>
    <xf numFmtId="0" fontId="79" fillId="0" borderId="18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0" fontId="79" fillId="0" borderId="37" xfId="0" applyFont="1" applyFill="1" applyBorder="1" applyAlignment="1" applyProtection="1">
      <alignment horizontal="left"/>
    </xf>
    <xf numFmtId="3" fontId="81" fillId="0" borderId="37" xfId="0" applyNumberFormat="1" applyFont="1" applyFill="1" applyBorder="1" applyProtection="1"/>
    <xf numFmtId="3" fontId="81" fillId="0" borderId="76" xfId="0" applyNumberFormat="1" applyFont="1" applyFill="1" applyBorder="1" applyProtection="1">
      <protection locked="0"/>
    </xf>
    <xf numFmtId="4" fontId="139" fillId="0" borderId="76" xfId="0" applyNumberFormat="1" applyFont="1" applyFill="1" applyBorder="1" applyProtection="1"/>
    <xf numFmtId="3" fontId="67" fillId="0" borderId="69" xfId="0" applyNumberFormat="1" applyFont="1" applyFill="1" applyBorder="1" applyProtection="1">
      <protection locked="0"/>
    </xf>
    <xf numFmtId="0" fontId="79" fillId="0" borderId="22" xfId="0" applyFont="1" applyFill="1" applyBorder="1" applyAlignment="1" applyProtection="1">
      <alignment horizontal="left"/>
    </xf>
    <xf numFmtId="3" fontId="81" fillId="0" borderId="77" xfId="0" applyNumberFormat="1" applyFont="1" applyFill="1" applyBorder="1" applyProtection="1">
      <protection locked="0"/>
    </xf>
    <xf numFmtId="3" fontId="63" fillId="0" borderId="53" xfId="0" applyNumberFormat="1" applyFont="1" applyFill="1" applyBorder="1" applyProtection="1"/>
    <xf numFmtId="0" fontId="79" fillId="0" borderId="19" xfId="0" applyFont="1" applyFill="1" applyBorder="1" applyProtection="1"/>
    <xf numFmtId="4" fontId="81" fillId="0" borderId="85" xfId="0" applyNumberFormat="1" applyFont="1" applyFill="1" applyBorder="1" applyProtection="1"/>
    <xf numFmtId="0" fontId="63" fillId="0" borderId="81" xfId="0" applyFont="1" applyFill="1" applyBorder="1" applyAlignment="1" applyProtection="1">
      <alignment horizontal="left"/>
    </xf>
    <xf numFmtId="3" fontId="63" fillId="0" borderId="22" xfId="0" applyNumberFormat="1" applyFont="1" applyFill="1" applyBorder="1" applyProtection="1">
      <protection locked="0"/>
    </xf>
    <xf numFmtId="4" fontId="67" fillId="0" borderId="87" xfId="0" applyNumberFormat="1" applyFont="1" applyFill="1" applyBorder="1" applyProtection="1"/>
    <xf numFmtId="4" fontId="63" fillId="0" borderId="81" xfId="0" applyNumberFormat="1" applyFont="1" applyFill="1" applyBorder="1" applyProtection="1"/>
    <xf numFmtId="4" fontId="81" fillId="0" borderId="84" xfId="0" applyNumberFormat="1" applyFont="1" applyFill="1" applyBorder="1" applyProtection="1"/>
    <xf numFmtId="0" fontId="67" fillId="0" borderId="23" xfId="0" applyFont="1" applyFill="1" applyBorder="1"/>
    <xf numFmtId="0" fontId="140" fillId="0" borderId="46" xfId="0" applyFont="1" applyFill="1" applyBorder="1" applyAlignment="1" applyProtection="1"/>
    <xf numFmtId="3" fontId="139" fillId="0" borderId="122" xfId="0" applyNumberFormat="1" applyFont="1" applyFill="1" applyBorder="1" applyAlignment="1" applyProtection="1"/>
    <xf numFmtId="0" fontId="67" fillId="0" borderId="137" xfId="0" applyFont="1" applyFill="1" applyBorder="1"/>
    <xf numFmtId="3" fontId="67" fillId="0" borderId="111" xfId="0" applyNumberFormat="1" applyFont="1" applyFill="1" applyBorder="1" applyProtection="1"/>
    <xf numFmtId="3" fontId="67" fillId="0" borderId="122" xfId="0" applyNumberFormat="1" applyFont="1" applyFill="1" applyBorder="1" applyProtection="1"/>
    <xf numFmtId="4" fontId="67" fillId="0" borderId="137" xfId="0" applyNumberFormat="1" applyFont="1" applyFill="1" applyBorder="1" applyProtection="1"/>
    <xf numFmtId="0" fontId="4" fillId="0" borderId="87" xfId="0" applyFont="1" applyFill="1" applyBorder="1"/>
    <xf numFmtId="0" fontId="62" fillId="0" borderId="18" xfId="0" applyFont="1" applyFill="1" applyBorder="1"/>
    <xf numFmtId="2" fontId="3" fillId="0" borderId="82" xfId="0" applyNumberFormat="1" applyFont="1" applyFill="1" applyBorder="1"/>
    <xf numFmtId="2" fontId="18" fillId="0" borderId="78" xfId="0" applyNumberFormat="1" applyFont="1" applyFill="1" applyBorder="1"/>
    <xf numFmtId="3" fontId="62" fillId="0" borderId="16" xfId="0" applyNumberFormat="1" applyFont="1" applyBorder="1" applyAlignment="1">
      <alignment horizontal="left"/>
    </xf>
    <xf numFmtId="3" fontId="65" fillId="0" borderId="0" xfId="0" applyNumberFormat="1" applyFont="1" applyFill="1" applyBorder="1" applyAlignment="1">
      <alignment horizontal="right"/>
    </xf>
    <xf numFmtId="0" fontId="41" fillId="0" borderId="84" xfId="0" applyFont="1" applyFill="1" applyBorder="1" applyAlignment="1">
      <alignment horizontal="center"/>
    </xf>
    <xf numFmtId="0" fontId="65" fillId="0" borderId="70" xfId="0" applyFont="1" applyFill="1" applyBorder="1" applyAlignment="1">
      <alignment horizontal="center"/>
    </xf>
    <xf numFmtId="0" fontId="41" fillId="0" borderId="92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53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28" borderId="84" xfId="0" applyFont="1" applyFill="1" applyBorder="1" applyAlignment="1">
      <alignment horizontal="center"/>
    </xf>
    <xf numFmtId="0" fontId="41" fillId="28" borderId="7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3" fontId="7" fillId="0" borderId="110" xfId="79" applyNumberFormat="1" applyFont="1" applyFill="1" applyBorder="1" applyAlignment="1">
      <alignment horizontal="right" wrapText="1"/>
    </xf>
    <xf numFmtId="0" fontId="18" fillId="0" borderId="84" xfId="0" applyFont="1" applyFill="1" applyBorder="1" applyAlignment="1">
      <alignment horizontal="center"/>
    </xf>
    <xf numFmtId="0" fontId="18" fillId="28" borderId="84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28" borderId="70" xfId="0" applyFont="1" applyFill="1" applyBorder="1" applyAlignment="1">
      <alignment horizontal="center"/>
    </xf>
    <xf numFmtId="0" fontId="4" fillId="0" borderId="87" xfId="0" applyFont="1" applyBorder="1"/>
    <xf numFmtId="0" fontId="4" fillId="0" borderId="19" xfId="0" applyFont="1" applyBorder="1" applyAlignment="1">
      <alignment horizontal="center"/>
    </xf>
    <xf numFmtId="3" fontId="21" fillId="0" borderId="21" xfId="0" applyNumberFormat="1" applyFont="1" applyBorder="1"/>
    <xf numFmtId="3" fontId="4" fillId="29" borderId="47" xfId="0" applyNumberFormat="1" applyFont="1" applyFill="1" applyBorder="1"/>
    <xf numFmtId="3" fontId="4" fillId="29" borderId="0" xfId="0" applyNumberFormat="1" applyFont="1" applyFill="1" applyBorder="1"/>
    <xf numFmtId="3" fontId="4" fillId="29" borderId="37" xfId="0" applyNumberFormat="1" applyFont="1" applyFill="1" applyBorder="1"/>
    <xf numFmtId="3" fontId="3" fillId="0" borderId="96" xfId="0" applyNumberFormat="1" applyFont="1" applyFill="1" applyBorder="1"/>
    <xf numFmtId="4" fontId="3" fillId="0" borderId="60" xfId="0" applyNumberFormat="1" applyFont="1" applyFill="1" applyBorder="1"/>
    <xf numFmtId="3" fontId="3" fillId="0" borderId="87" xfId="0" applyNumberFormat="1" applyFont="1" applyFill="1" applyBorder="1"/>
    <xf numFmtId="0" fontId="141" fillId="0" borderId="23" xfId="0" applyFont="1" applyBorder="1" applyAlignment="1">
      <alignment horizontal="center"/>
    </xf>
    <xf numFmtId="0" fontId="141" fillId="28" borderId="46" xfId="0" applyFont="1" applyFill="1" applyBorder="1" applyAlignment="1">
      <alignment horizontal="center"/>
    </xf>
    <xf numFmtId="0" fontId="141" fillId="0" borderId="84" xfId="0" applyFont="1" applyBorder="1" applyAlignment="1">
      <alignment horizontal="center"/>
    </xf>
    <xf numFmtId="0" fontId="141" fillId="0" borderId="18" xfId="0" applyFont="1" applyBorder="1" applyAlignment="1">
      <alignment horizontal="center"/>
    </xf>
    <xf numFmtId="0" fontId="141" fillId="0" borderId="92" xfId="0" applyFont="1" applyBorder="1" applyAlignment="1">
      <alignment horizontal="center"/>
    </xf>
    <xf numFmtId="3" fontId="141" fillId="0" borderId="54" xfId="0" applyNumberFormat="1" applyFont="1" applyBorder="1" applyAlignment="1">
      <alignment horizontal="center"/>
    </xf>
    <xf numFmtId="0" fontId="141" fillId="28" borderId="0" xfId="0" applyFont="1" applyFill="1" applyBorder="1" applyAlignment="1">
      <alignment horizontal="center"/>
    </xf>
    <xf numFmtId="0" fontId="141" fillId="0" borderId="70" xfId="0" applyFont="1" applyBorder="1" applyAlignment="1">
      <alignment horizontal="center"/>
    </xf>
    <xf numFmtId="0" fontId="142" fillId="0" borderId="23" xfId="0" applyFont="1" applyBorder="1"/>
    <xf numFmtId="3" fontId="142" fillId="0" borderId="45" xfId="0" applyNumberFormat="1" applyFont="1" applyBorder="1"/>
    <xf numFmtId="2" fontId="142" fillId="0" borderId="27" xfId="0" applyNumberFormat="1" applyFont="1" applyBorder="1"/>
    <xf numFmtId="0" fontId="142" fillId="0" borderId="40" xfId="0" applyFont="1" applyBorder="1"/>
    <xf numFmtId="3" fontId="142" fillId="0" borderId="36" xfId="0" applyNumberFormat="1" applyFont="1" applyBorder="1"/>
    <xf numFmtId="3" fontId="142" fillId="0" borderId="34" xfId="0" applyNumberFormat="1" applyFont="1" applyBorder="1"/>
    <xf numFmtId="2" fontId="142" fillId="0" borderId="68" xfId="0" applyNumberFormat="1" applyFont="1" applyBorder="1"/>
    <xf numFmtId="0" fontId="142" fillId="0" borderId="18" xfId="0" applyFont="1" applyBorder="1"/>
    <xf numFmtId="3" fontId="142" fillId="0" borderId="15" xfId="0" applyNumberFormat="1" applyFont="1" applyBorder="1"/>
    <xf numFmtId="3" fontId="142" fillId="0" borderId="29" xfId="0" applyNumberFormat="1" applyFont="1" applyBorder="1"/>
    <xf numFmtId="2" fontId="142" fillId="0" borderId="59" xfId="0" applyNumberFormat="1" applyFont="1" applyBorder="1"/>
    <xf numFmtId="0" fontId="141" fillId="0" borderId="17" xfId="0" applyFont="1" applyBorder="1" applyAlignment="1">
      <alignment horizontal="center"/>
    </xf>
    <xf numFmtId="3" fontId="141" fillId="0" borderId="43" xfId="0" applyNumberFormat="1" applyFont="1" applyBorder="1"/>
    <xf numFmtId="3" fontId="141" fillId="0" borderId="44" xfId="0" applyNumberFormat="1" applyFont="1" applyBorder="1"/>
    <xf numFmtId="2" fontId="141" fillId="0" borderId="54" xfId="0" applyNumberFormat="1" applyFont="1" applyBorder="1"/>
    <xf numFmtId="0" fontId="143" fillId="0" borderId="23" xfId="0" applyFont="1" applyBorder="1" applyAlignment="1">
      <alignment horizontal="center"/>
    </xf>
    <xf numFmtId="3" fontId="141" fillId="0" borderId="45" xfId="0" applyNumberFormat="1" applyFont="1" applyBorder="1"/>
    <xf numFmtId="0" fontId="142" fillId="29" borderId="38" xfId="0" applyFont="1" applyFill="1" applyBorder="1"/>
    <xf numFmtId="3" fontId="142" fillId="29" borderId="51" xfId="0" applyNumberFormat="1" applyFont="1" applyFill="1" applyBorder="1"/>
    <xf numFmtId="3" fontId="142" fillId="29" borderId="15" xfId="0" applyNumberFormat="1" applyFont="1" applyFill="1" applyBorder="1"/>
    <xf numFmtId="4" fontId="142" fillId="29" borderId="59" xfId="0" applyNumberFormat="1" applyFont="1" applyFill="1" applyBorder="1"/>
    <xf numFmtId="3" fontId="142" fillId="29" borderId="40" xfId="0" applyNumberFormat="1" applyFont="1" applyFill="1" applyBorder="1" applyAlignment="1">
      <alignment wrapText="1"/>
    </xf>
    <xf numFmtId="3" fontId="142" fillId="29" borderId="36" xfId="0" applyNumberFormat="1" applyFont="1" applyFill="1" applyBorder="1"/>
    <xf numFmtId="4" fontId="142" fillId="29" borderId="68" xfId="0" applyNumberFormat="1" applyFont="1" applyFill="1" applyBorder="1"/>
    <xf numFmtId="3" fontId="142" fillId="29" borderId="34" xfId="0" applyNumberFormat="1" applyFont="1" applyFill="1" applyBorder="1"/>
    <xf numFmtId="3" fontId="142" fillId="0" borderId="40" xfId="0" applyNumberFormat="1" applyFont="1" applyFill="1" applyBorder="1" applyAlignment="1">
      <alignment wrapText="1"/>
    </xf>
    <xf numFmtId="3" fontId="142" fillId="0" borderId="36" xfId="0" applyNumberFormat="1" applyFont="1" applyFill="1" applyBorder="1"/>
    <xf numFmtId="3" fontId="142" fillId="0" borderId="34" xfId="0" applyNumberFormat="1" applyFont="1" applyFill="1" applyBorder="1"/>
    <xf numFmtId="4" fontId="142" fillId="0" borderId="68" xfId="0" applyNumberFormat="1" applyFont="1" applyFill="1" applyBorder="1"/>
    <xf numFmtId="3" fontId="142" fillId="29" borderId="18" xfId="0" applyNumberFormat="1" applyFont="1" applyFill="1" applyBorder="1" applyAlignment="1">
      <alignment wrapText="1"/>
    </xf>
    <xf numFmtId="0" fontId="141" fillId="0" borderId="26" xfId="0" applyFont="1" applyFill="1" applyBorder="1" applyAlignment="1">
      <alignment horizontal="center"/>
    </xf>
    <xf numFmtId="3" fontId="141" fillId="0" borderId="32" xfId="0" applyNumberFormat="1" applyFont="1" applyFill="1" applyBorder="1"/>
    <xf numFmtId="3" fontId="141" fillId="0" borderId="49" xfId="0" applyNumberFormat="1" applyFont="1" applyFill="1" applyBorder="1"/>
    <xf numFmtId="4" fontId="141" fillId="0" borderId="58" xfId="0" applyNumberFormat="1" applyFont="1" applyFill="1" applyBorder="1"/>
    <xf numFmtId="0" fontId="143" fillId="0" borderId="18" xfId="0" applyFont="1" applyBorder="1" applyAlignment="1">
      <alignment horizontal="center"/>
    </xf>
    <xf numFmtId="4" fontId="142" fillId="29" borderId="67" xfId="0" applyNumberFormat="1" applyFont="1" applyFill="1" applyBorder="1"/>
    <xf numFmtId="0" fontId="142" fillId="0" borderId="40" xfId="0" applyFont="1" applyFill="1" applyBorder="1"/>
    <xf numFmtId="3" fontId="142" fillId="0" borderId="74" xfId="0" applyNumberFormat="1" applyFont="1" applyFill="1" applyBorder="1"/>
    <xf numFmtId="2" fontId="142" fillId="0" borderId="67" xfId="0" applyNumberFormat="1" applyFont="1" applyBorder="1"/>
    <xf numFmtId="3" fontId="142" fillId="29" borderId="38" xfId="0" applyNumberFormat="1" applyFont="1" applyFill="1" applyBorder="1" applyAlignment="1">
      <alignment wrapText="1"/>
    </xf>
    <xf numFmtId="3" fontId="142" fillId="0" borderId="38" xfId="0" applyNumberFormat="1" applyFont="1" applyFill="1" applyBorder="1" applyAlignment="1">
      <alignment wrapText="1"/>
    </xf>
    <xf numFmtId="3" fontId="142" fillId="0" borderId="51" xfId="0" applyNumberFormat="1" applyFont="1" applyFill="1" applyBorder="1"/>
    <xf numFmtId="3" fontId="142" fillId="0" borderId="114" xfId="0" applyNumberFormat="1" applyFont="1" applyFill="1" applyBorder="1"/>
    <xf numFmtId="0" fontId="142" fillId="0" borderId="40" xfId="0" applyFont="1" applyFill="1" applyBorder="1" applyAlignment="1">
      <alignment wrapText="1"/>
    </xf>
    <xf numFmtId="0" fontId="142" fillId="0" borderId="38" xfId="0" applyFont="1" applyFill="1" applyBorder="1"/>
    <xf numFmtId="0" fontId="142" fillId="0" borderId="40" xfId="0" applyFont="1" applyFill="1" applyBorder="1" applyAlignment="1">
      <alignment horizontal="justify"/>
    </xf>
    <xf numFmtId="0" fontId="142" fillId="0" borderId="40" xfId="0" applyFont="1" applyFill="1" applyBorder="1" applyAlignment="1">
      <alignment horizontal="justify" wrapText="1"/>
    </xf>
    <xf numFmtId="3" fontId="142" fillId="0" borderId="52" xfId="0" applyNumberFormat="1" applyFont="1" applyFill="1" applyBorder="1"/>
    <xf numFmtId="3" fontId="142" fillId="0" borderId="65" xfId="0" applyNumberFormat="1" applyFont="1" applyFill="1" applyBorder="1"/>
    <xf numFmtId="0" fontId="142" fillId="0" borderId="62" xfId="0" applyFont="1" applyFill="1" applyBorder="1" applyAlignment="1">
      <alignment horizontal="justify" wrapText="1"/>
    </xf>
    <xf numFmtId="2" fontId="142" fillId="0" borderId="71" xfId="0" applyNumberFormat="1" applyFont="1" applyBorder="1"/>
    <xf numFmtId="0" fontId="144" fillId="0" borderId="40" xfId="0" applyFont="1" applyFill="1" applyBorder="1" applyAlignment="1">
      <alignment horizontal="justify" wrapText="1"/>
    </xf>
    <xf numFmtId="3" fontId="142" fillId="0" borderId="68" xfId="0" applyNumberFormat="1" applyFont="1" applyBorder="1"/>
    <xf numFmtId="0" fontId="142" fillId="29" borderId="40" xfId="0" applyFont="1" applyFill="1" applyBorder="1" applyAlignment="1">
      <alignment horizontal="justify"/>
    </xf>
    <xf numFmtId="2" fontId="142" fillId="29" borderId="67" xfId="0" applyNumberFormat="1" applyFont="1" applyFill="1" applyBorder="1"/>
    <xf numFmtId="0" fontId="142" fillId="0" borderId="62" xfId="0" applyFont="1" applyFill="1" applyBorder="1"/>
    <xf numFmtId="0" fontId="142" fillId="0" borderId="62" xfId="0" applyFont="1" applyFill="1" applyBorder="1" applyAlignment="1">
      <alignment wrapText="1"/>
    </xf>
    <xf numFmtId="3" fontId="142" fillId="0" borderId="52" xfId="0" applyNumberFormat="1" applyFont="1" applyBorder="1"/>
    <xf numFmtId="3" fontId="142" fillId="0" borderId="65" xfId="0" applyNumberFormat="1" applyFont="1" applyBorder="1"/>
    <xf numFmtId="0" fontId="144" fillId="0" borderId="38" xfId="0" applyFont="1" applyFill="1" applyBorder="1" applyAlignment="1">
      <alignment horizontal="justify" wrapText="1"/>
    </xf>
    <xf numFmtId="3" fontId="142" fillId="0" borderId="15" xfId="0" applyNumberFormat="1" applyFont="1" applyFill="1" applyBorder="1"/>
    <xf numFmtId="3" fontId="142" fillId="0" borderId="29" xfId="0" applyNumberFormat="1" applyFont="1" applyFill="1" applyBorder="1"/>
    <xf numFmtId="0" fontId="142" fillId="0" borderId="18" xfId="0" applyFont="1" applyFill="1" applyBorder="1" applyAlignment="1">
      <alignment horizontal="justify" wrapText="1"/>
    </xf>
    <xf numFmtId="0" fontId="141" fillId="0" borderId="57" xfId="0" applyFont="1" applyBorder="1" applyAlignment="1">
      <alignment horizontal="center"/>
    </xf>
    <xf numFmtId="3" fontId="141" fillId="0" borderId="55" xfId="0" applyNumberFormat="1" applyFont="1" applyBorder="1"/>
    <xf numFmtId="3" fontId="141" fillId="0" borderId="83" xfId="0" applyNumberFormat="1" applyFont="1" applyBorder="1"/>
    <xf numFmtId="2" fontId="141" fillId="0" borderId="56" xfId="0" applyNumberFormat="1" applyFont="1" applyBorder="1"/>
    <xf numFmtId="0" fontId="143" fillId="0" borderId="23" xfId="0" applyFont="1" applyFill="1" applyBorder="1" applyAlignment="1">
      <alignment horizontal="center"/>
    </xf>
    <xf numFmtId="3" fontId="141" fillId="0" borderId="47" xfId="0" applyNumberFormat="1" applyFont="1" applyBorder="1"/>
    <xf numFmtId="2" fontId="141" fillId="0" borderId="27" xfId="0" applyNumberFormat="1" applyFont="1" applyBorder="1"/>
    <xf numFmtId="0" fontId="142" fillId="0" borderId="38" xfId="78" applyFont="1" applyFill="1" applyBorder="1" applyAlignment="1">
      <alignment horizontal="justify"/>
    </xf>
    <xf numFmtId="3" fontId="142" fillId="0" borderId="51" xfId="0" applyNumberFormat="1" applyFont="1" applyBorder="1"/>
    <xf numFmtId="3" fontId="142" fillId="0" borderId="114" xfId="0" applyNumberFormat="1" applyFont="1" applyBorder="1"/>
    <xf numFmtId="3" fontId="142" fillId="0" borderId="62" xfId="78" applyNumberFormat="1" applyFont="1" applyFill="1" applyBorder="1" applyAlignment="1">
      <alignment horizontal="left"/>
    </xf>
    <xf numFmtId="0" fontId="142" fillId="0" borderId="41" xfId="0" applyFont="1" applyFill="1" applyBorder="1" applyAlignment="1">
      <alignment horizontal="justify" wrapText="1"/>
    </xf>
    <xf numFmtId="3" fontId="142" fillId="0" borderId="64" xfId="0" applyNumberFormat="1" applyFont="1" applyBorder="1"/>
    <xf numFmtId="3" fontId="142" fillId="0" borderId="35" xfId="0" applyNumberFormat="1" applyFont="1" applyBorder="1"/>
    <xf numFmtId="3" fontId="142" fillId="0" borderId="35" xfId="0" applyNumberFormat="1" applyFont="1" applyFill="1" applyBorder="1"/>
    <xf numFmtId="0" fontId="141" fillId="0" borderId="19" xfId="0" applyFont="1" applyFill="1" applyBorder="1" applyAlignment="1">
      <alignment horizontal="center"/>
    </xf>
    <xf numFmtId="3" fontId="141" fillId="0" borderId="61" xfId="0" applyNumberFormat="1" applyFont="1" applyBorder="1"/>
    <xf numFmtId="2" fontId="141" fillId="0" borderId="28" xfId="0" applyNumberFormat="1" applyFont="1" applyBorder="1"/>
    <xf numFmtId="0" fontId="141" fillId="0" borderId="20" xfId="0" applyFont="1" applyFill="1" applyBorder="1" applyAlignment="1">
      <alignment horizontal="left"/>
    </xf>
    <xf numFmtId="3" fontId="141" fillId="0" borderId="21" xfId="0" applyNumberFormat="1" applyFont="1" applyBorder="1"/>
    <xf numFmtId="3" fontId="141" fillId="0" borderId="48" xfId="0" applyNumberFormat="1" applyFont="1" applyBorder="1"/>
    <xf numFmtId="2" fontId="141" fillId="0" borderId="60" xfId="0" applyNumberFormat="1" applyFont="1" applyBorder="1"/>
    <xf numFmtId="0" fontId="141" fillId="0" borderId="19" xfId="0" applyFont="1" applyFill="1" applyBorder="1" applyAlignment="1">
      <alignment horizontal="left" wrapText="1"/>
    </xf>
    <xf numFmtId="3" fontId="141" fillId="0" borderId="33" xfId="0" applyNumberFormat="1" applyFont="1" applyBorder="1"/>
    <xf numFmtId="0" fontId="142" fillId="0" borderId="0" xfId="0" applyFont="1"/>
    <xf numFmtId="3" fontId="142" fillId="0" borderId="0" xfId="0" applyNumberFormat="1" applyFont="1"/>
    <xf numFmtId="0" fontId="144" fillId="0" borderId="0" xfId="0" applyFont="1" applyFill="1" applyBorder="1"/>
    <xf numFmtId="3" fontId="142" fillId="0" borderId="0" xfId="0" applyNumberFormat="1" applyFont="1" applyFill="1" applyBorder="1" applyAlignment="1">
      <alignment horizontal="right"/>
    </xf>
    <xf numFmtId="0" fontId="141" fillId="0" borderId="23" xfId="0" applyFont="1" applyFill="1" applyBorder="1" applyAlignment="1">
      <alignment horizontal="center"/>
    </xf>
    <xf numFmtId="0" fontId="141" fillId="28" borderId="84" xfId="0" applyFont="1" applyFill="1" applyBorder="1" applyAlignment="1">
      <alignment horizontal="center"/>
    </xf>
    <xf numFmtId="0" fontId="141" fillId="0" borderId="53" xfId="0" applyFont="1" applyBorder="1" applyAlignment="1">
      <alignment horizontal="center"/>
    </xf>
    <xf numFmtId="0" fontId="141" fillId="28" borderId="70" xfId="0" applyFont="1" applyFill="1" applyBorder="1" applyAlignment="1">
      <alignment horizontal="center"/>
    </xf>
    <xf numFmtId="0" fontId="141" fillId="0" borderId="87" xfId="0" applyFont="1" applyBorder="1" applyAlignment="1">
      <alignment horizontal="center"/>
    </xf>
    <xf numFmtId="0" fontId="142" fillId="0" borderId="23" xfId="0" applyFont="1" applyFill="1" applyBorder="1"/>
    <xf numFmtId="3" fontId="142" fillId="0" borderId="84" xfId="0" applyNumberFormat="1" applyFont="1" applyFill="1" applyBorder="1"/>
    <xf numFmtId="0" fontId="142" fillId="0" borderId="19" xfId="0" applyFont="1" applyFill="1" applyBorder="1"/>
    <xf numFmtId="3" fontId="142" fillId="0" borderId="69" xfId="0" applyNumberFormat="1" applyFont="1" applyFill="1" applyBorder="1"/>
    <xf numFmtId="2" fontId="142" fillId="0" borderId="28" xfId="0" applyNumberFormat="1" applyFont="1" applyBorder="1"/>
    <xf numFmtId="0" fontId="141" fillId="0" borderId="20" xfId="0" applyFont="1" applyFill="1" applyBorder="1"/>
    <xf numFmtId="3" fontId="141" fillId="0" borderId="78" xfId="0" applyNumberFormat="1" applyFont="1" applyFill="1" applyBorder="1"/>
    <xf numFmtId="0" fontId="141" fillId="0" borderId="18" xfId="0" applyFont="1" applyFill="1" applyBorder="1"/>
    <xf numFmtId="3" fontId="141" fillId="0" borderId="0" xfId="0" applyNumberFormat="1" applyFont="1" applyFill="1" applyBorder="1"/>
    <xf numFmtId="0" fontId="141" fillId="0" borderId="0" xfId="0" applyFont="1" applyFill="1" applyBorder="1"/>
    <xf numFmtId="3" fontId="141" fillId="0" borderId="87" xfId="0" applyNumberFormat="1" applyFont="1" applyFill="1" applyBorder="1"/>
    <xf numFmtId="0" fontId="141" fillId="0" borderId="20" xfId="0" applyFont="1" applyFill="1" applyBorder="1" applyAlignment="1">
      <alignment wrapText="1"/>
    </xf>
    <xf numFmtId="3" fontId="141" fillId="0" borderId="60" xfId="0" applyNumberFormat="1" applyFont="1" applyFill="1" applyBorder="1"/>
    <xf numFmtId="3" fontId="4" fillId="0" borderId="90" xfId="0" applyNumberFormat="1" applyFont="1" applyFill="1" applyBorder="1"/>
    <xf numFmtId="3" fontId="39" fillId="0" borderId="32" xfId="0" applyNumberFormat="1" applyFont="1" applyFill="1" applyBorder="1" applyProtection="1"/>
    <xf numFmtId="3" fontId="4" fillId="0" borderId="124" xfId="0" applyNumberFormat="1" applyFont="1" applyFill="1" applyBorder="1"/>
    <xf numFmtId="3" fontId="39" fillId="0" borderId="32" xfId="78" applyNumberFormat="1" applyFont="1" applyFill="1" applyBorder="1" applyAlignment="1">
      <alignment horizontal="right"/>
    </xf>
    <xf numFmtId="3" fontId="39" fillId="0" borderId="141" xfId="0" applyNumberFormat="1" applyFont="1" applyFill="1" applyBorder="1" applyAlignment="1">
      <alignment wrapText="1"/>
    </xf>
    <xf numFmtId="0" fontId="39" fillId="0" borderId="141" xfId="78" applyFont="1" applyFill="1" applyBorder="1" applyAlignment="1">
      <alignment horizontal="left" wrapText="1"/>
    </xf>
    <xf numFmtId="0" fontId="39" fillId="0" borderId="38" xfId="78" applyFont="1" applyFill="1" applyBorder="1" applyAlignment="1">
      <alignment horizontal="left" wrapText="1"/>
    </xf>
    <xf numFmtId="3" fontId="8" fillId="0" borderId="87" xfId="0" applyNumberFormat="1" applyFont="1" applyFill="1" applyBorder="1" applyAlignment="1">
      <alignment horizontal="right"/>
    </xf>
    <xf numFmtId="3" fontId="4" fillId="0" borderId="90" xfId="78" applyNumberFormat="1" applyFont="1" applyFill="1" applyBorder="1" applyAlignment="1">
      <alignment horizontal="right"/>
    </xf>
    <xf numFmtId="3" fontId="4" fillId="0" borderId="103" xfId="0" applyNumberFormat="1" applyFont="1" applyFill="1" applyBorder="1"/>
    <xf numFmtId="3" fontId="39" fillId="0" borderId="32" xfId="0" applyNumberFormat="1" applyFont="1" applyFill="1" applyBorder="1"/>
    <xf numFmtId="3" fontId="4" fillId="0" borderId="32" xfId="0" applyNumberFormat="1" applyFont="1" applyFill="1" applyBorder="1" applyAlignment="1">
      <alignment horizontal="right"/>
    </xf>
    <xf numFmtId="3" fontId="39" fillId="0" borderId="32" xfId="0" applyNumberFormat="1" applyFont="1" applyFill="1" applyBorder="1" applyAlignment="1">
      <alignment horizontal="right"/>
    </xf>
    <xf numFmtId="3" fontId="39" fillId="28" borderId="32" xfId="78" applyNumberFormat="1" applyFont="1" applyFill="1" applyBorder="1" applyAlignment="1">
      <alignment horizontal="right"/>
    </xf>
    <xf numFmtId="0" fontId="39" fillId="0" borderId="141" xfId="0" applyFont="1" applyFill="1" applyBorder="1" applyAlignment="1">
      <alignment wrapText="1" shrinkToFit="1"/>
    </xf>
    <xf numFmtId="0" fontId="91" fillId="0" borderId="141" xfId="78" applyFont="1" applyFill="1" applyBorder="1" applyAlignment="1">
      <alignment horizontal="center"/>
    </xf>
    <xf numFmtId="0" fontId="3" fillId="0" borderId="141" xfId="78" applyFont="1" applyFill="1" applyBorder="1"/>
    <xf numFmtId="0" fontId="39" fillId="0" borderId="141" xfId="0" applyFont="1" applyFill="1" applyBorder="1" applyAlignment="1">
      <alignment horizontal="justify" wrapText="1"/>
    </xf>
    <xf numFmtId="0" fontId="39" fillId="0" borderId="141" xfId="78" applyFont="1" applyFill="1" applyBorder="1"/>
    <xf numFmtId="0" fontId="39" fillId="0" borderId="141" xfId="78" applyFont="1" applyFill="1" applyBorder="1" applyAlignment="1">
      <alignment wrapText="1"/>
    </xf>
    <xf numFmtId="3" fontId="14" fillId="0" borderId="54" xfId="78" applyNumberFormat="1" applyFont="1" applyFill="1" applyBorder="1" applyAlignment="1">
      <alignment horizontal="right"/>
    </xf>
    <xf numFmtId="0" fontId="18" fillId="28" borderId="45" xfId="0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8" xfId="78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28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78" applyFont="1" applyBorder="1" applyAlignment="1">
      <alignment horizontal="right"/>
    </xf>
    <xf numFmtId="3" fontId="40" fillId="0" borderId="15" xfId="78" applyNumberFormat="1" applyFont="1" applyFill="1" applyBorder="1" applyAlignment="1">
      <alignment horizontal="center"/>
    </xf>
    <xf numFmtId="3" fontId="40" fillId="0" borderId="15" xfId="78" applyNumberFormat="1" applyFont="1" applyBorder="1"/>
    <xf numFmtId="2" fontId="40" fillId="0" borderId="59" xfId="78" applyNumberFormat="1" applyFont="1" applyBorder="1"/>
    <xf numFmtId="0" fontId="40" fillId="0" borderId="18" xfId="78" applyFont="1" applyBorder="1" applyAlignment="1">
      <alignment horizontal="right"/>
    </xf>
    <xf numFmtId="3" fontId="40" fillId="0" borderId="52" xfId="78" applyNumberFormat="1" applyFont="1" applyFill="1" applyBorder="1" applyAlignment="1">
      <alignment horizontal="right"/>
    </xf>
    <xf numFmtId="3" fontId="40" fillId="0" borderId="52" xfId="78" applyNumberFormat="1" applyFont="1" applyFill="1" applyBorder="1"/>
    <xf numFmtId="2" fontId="40" fillId="0" borderId="71" xfId="78" applyNumberFormat="1" applyFont="1" applyBorder="1"/>
    <xf numFmtId="0" fontId="40" fillId="0" borderId="66" xfId="78" applyFont="1" applyFill="1" applyBorder="1" applyAlignment="1">
      <alignment horizontal="justify"/>
    </xf>
    <xf numFmtId="3" fontId="40" fillId="0" borderId="36" xfId="78" applyNumberFormat="1" applyFont="1" applyFill="1" applyBorder="1" applyAlignment="1">
      <alignment horizontal="right"/>
    </xf>
    <xf numFmtId="3" fontId="40" fillId="0" borderId="36" xfId="78" applyNumberFormat="1" applyFont="1" applyFill="1" applyBorder="1"/>
    <xf numFmtId="2" fontId="40" fillId="0" borderId="68" xfId="78" applyNumberFormat="1" applyFont="1" applyBorder="1"/>
    <xf numFmtId="0" fontId="40" fillId="0" borderId="37" xfId="78" applyFont="1" applyFill="1" applyBorder="1"/>
    <xf numFmtId="2" fontId="40" fillId="0" borderId="80" xfId="78" applyNumberFormat="1" applyFont="1" applyBorder="1"/>
    <xf numFmtId="3" fontId="40" fillId="0" borderId="15" xfId="78" applyNumberFormat="1" applyFont="1" applyFill="1" applyBorder="1" applyAlignment="1">
      <alignment horizontal="right"/>
    </xf>
    <xf numFmtId="3" fontId="40" fillId="0" borderId="15" xfId="78" applyNumberFormat="1" applyFont="1" applyFill="1" applyBorder="1"/>
    <xf numFmtId="2" fontId="40" fillId="0" borderId="87" xfId="78" applyNumberFormat="1" applyFont="1" applyBorder="1"/>
    <xf numFmtId="0" fontId="18" fillId="0" borderId="26" xfId="78" applyFont="1" applyBorder="1" applyAlignment="1">
      <alignment horizontal="right"/>
    </xf>
    <xf numFmtId="0" fontId="18" fillId="0" borderId="24" xfId="78" applyFont="1" applyBorder="1" applyAlignment="1">
      <alignment horizontal="center"/>
    </xf>
    <xf numFmtId="3" fontId="18" fillId="0" borderId="32" xfId="78" applyNumberFormat="1" applyFont="1" applyFill="1" applyBorder="1"/>
    <xf numFmtId="2" fontId="18" fillId="0" borderId="90" xfId="78" applyNumberFormat="1" applyFont="1" applyBorder="1"/>
    <xf numFmtId="0" fontId="18" fillId="0" borderId="115" xfId="78" applyFont="1" applyBorder="1" applyAlignment="1">
      <alignment horizontal="right"/>
    </xf>
    <xf numFmtId="0" fontId="18" fillId="0" borderId="116" xfId="78" applyFont="1" applyBorder="1"/>
    <xf numFmtId="3" fontId="18" fillId="0" borderId="117" xfId="78" applyNumberFormat="1" applyFont="1" applyFill="1" applyBorder="1"/>
    <xf numFmtId="2" fontId="18" fillId="0" borderId="118" xfId="78" applyNumberFormat="1" applyFont="1" applyBorder="1"/>
    <xf numFmtId="0" fontId="18" fillId="0" borderId="18" xfId="78" applyFont="1" applyBorder="1" applyAlignment="1">
      <alignment horizontal="right"/>
    </xf>
    <xf numFmtId="0" fontId="40" fillId="0" borderId="0" xfId="78" applyFont="1" applyFill="1" applyBorder="1" applyAlignment="1">
      <alignment horizontal="left" wrapText="1"/>
    </xf>
    <xf numFmtId="3" fontId="65" fillId="0" borderId="15" xfId="78" applyNumberFormat="1" applyFont="1" applyFill="1" applyBorder="1"/>
    <xf numFmtId="2" fontId="65" fillId="0" borderId="59" xfId="78" applyNumberFormat="1" applyFont="1" applyBorder="1"/>
    <xf numFmtId="0" fontId="40" fillId="0" borderId="37" xfId="78" applyFont="1" applyFill="1" applyBorder="1" applyAlignment="1">
      <alignment horizontal="left" wrapText="1"/>
    </xf>
    <xf numFmtId="3" fontId="18" fillId="0" borderId="36" xfId="78" applyNumberFormat="1" applyFont="1" applyFill="1" applyBorder="1"/>
    <xf numFmtId="3" fontId="65" fillId="0" borderId="36" xfId="78" applyNumberFormat="1" applyFont="1" applyFill="1" applyBorder="1"/>
    <xf numFmtId="2" fontId="65" fillId="0" borderId="68" xfId="78" applyNumberFormat="1" applyFont="1" applyBorder="1"/>
    <xf numFmtId="2" fontId="40" fillId="0" borderId="118" xfId="78" applyNumberFormat="1" applyFont="1" applyBorder="1"/>
    <xf numFmtId="3" fontId="40" fillId="0" borderId="52" xfId="78" applyNumberFormat="1" applyFont="1" applyBorder="1" applyAlignment="1">
      <alignment horizontal="right"/>
    </xf>
    <xf numFmtId="2" fontId="40" fillId="0" borderId="67" xfId="78" applyNumberFormat="1" applyFont="1" applyBorder="1"/>
    <xf numFmtId="3" fontId="40" fillId="0" borderId="36" xfId="78" applyNumberFormat="1" applyFont="1" applyBorder="1" applyAlignment="1">
      <alignment horizontal="right"/>
    </xf>
    <xf numFmtId="2" fontId="18" fillId="0" borderId="58" xfId="78" applyNumberFormat="1" applyFont="1" applyFill="1" applyBorder="1"/>
    <xf numFmtId="0" fontId="18" fillId="0" borderId="24" xfId="78" applyFont="1" applyBorder="1"/>
    <xf numFmtId="3" fontId="18" fillId="0" borderId="32" xfId="78" applyNumberFormat="1" applyFont="1" applyBorder="1" applyAlignment="1">
      <alignment horizontal="right"/>
    </xf>
    <xf numFmtId="0" fontId="18" fillId="0" borderId="0" xfId="78" applyFont="1" applyBorder="1"/>
    <xf numFmtId="2" fontId="40" fillId="0" borderId="59" xfId="78" applyNumberFormat="1" applyFont="1" applyFill="1" applyBorder="1"/>
    <xf numFmtId="3" fontId="40" fillId="0" borderId="37" xfId="0" applyNumberFormat="1" applyFont="1" applyFill="1" applyBorder="1" applyAlignment="1">
      <alignment horizontal="justify"/>
    </xf>
    <xf numFmtId="3" fontId="40" fillId="0" borderId="66" xfId="0" applyNumberFormat="1" applyFont="1" applyFill="1" applyBorder="1" applyAlignment="1">
      <alignment horizontal="justify"/>
    </xf>
    <xf numFmtId="0" fontId="40" fillId="0" borderId="18" xfId="78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justify"/>
    </xf>
    <xf numFmtId="3" fontId="40" fillId="0" borderId="15" xfId="78" applyNumberFormat="1" applyFont="1" applyBorder="1" applyAlignment="1">
      <alignment horizontal="right"/>
    </xf>
    <xf numFmtId="0" fontId="66" fillId="0" borderId="18" xfId="78" applyFont="1" applyBorder="1" applyAlignment="1">
      <alignment horizontal="left"/>
    </xf>
    <xf numFmtId="0" fontId="66" fillId="0" borderId="0" xfId="78" applyFont="1" applyBorder="1"/>
    <xf numFmtId="3" fontId="40" fillId="0" borderId="51" xfId="78" applyNumberFormat="1" applyFont="1" applyFill="1" applyBorder="1" applyAlignment="1">
      <alignment horizontal="right"/>
    </xf>
    <xf numFmtId="3" fontId="40" fillId="0" borderId="51" xfId="78" applyNumberFormat="1" applyFont="1" applyFill="1" applyBorder="1"/>
    <xf numFmtId="2" fontId="40" fillId="0" borderId="67" xfId="78" applyNumberFormat="1" applyFont="1" applyFill="1" applyBorder="1"/>
    <xf numFmtId="3" fontId="40" fillId="0" borderId="36" xfId="78" applyNumberFormat="1" applyFont="1" applyBorder="1"/>
    <xf numFmtId="3" fontId="40" fillId="0" borderId="51" xfId="0" applyNumberFormat="1" applyFont="1" applyBorder="1"/>
    <xf numFmtId="3" fontId="40" fillId="0" borderId="51" xfId="78" applyNumberFormat="1" applyFont="1" applyBorder="1"/>
    <xf numFmtId="3" fontId="40" fillId="0" borderId="50" xfId="0" applyNumberFormat="1" applyFont="1" applyBorder="1"/>
    <xf numFmtId="3" fontId="40" fillId="0" borderId="37" xfId="0" applyNumberFormat="1" applyFont="1" applyFill="1" applyBorder="1" applyAlignment="1">
      <alignment horizontal="justify" wrapText="1"/>
    </xf>
    <xf numFmtId="3" fontId="40" fillId="0" borderId="36" xfId="0" applyNumberFormat="1" applyFont="1" applyBorder="1"/>
    <xf numFmtId="3" fontId="40" fillId="0" borderId="50" xfId="0" applyNumberFormat="1" applyFont="1" applyFill="1" applyBorder="1" applyAlignment="1">
      <alignment horizontal="justify"/>
    </xf>
    <xf numFmtId="3" fontId="40" fillId="0" borderId="37" xfId="0" applyNumberFormat="1" applyFont="1" applyBorder="1"/>
    <xf numFmtId="0" fontId="40" fillId="0" borderId="37" xfId="78" applyFont="1" applyBorder="1"/>
    <xf numFmtId="0" fontId="40" fillId="0" borderId="0" xfId="78" applyFont="1" applyFill="1" applyBorder="1" applyAlignment="1">
      <alignment wrapText="1"/>
    </xf>
    <xf numFmtId="0" fontId="105" fillId="0" borderId="66" xfId="77" applyFont="1" applyBorder="1" applyAlignment="1">
      <alignment horizontal="justify"/>
    </xf>
    <xf numFmtId="0" fontId="105" fillId="0" borderId="37" xfId="77" applyFont="1" applyBorder="1" applyAlignment="1">
      <alignment horizontal="justify"/>
    </xf>
    <xf numFmtId="0" fontId="18" fillId="0" borderId="18" xfId="78" applyFont="1" applyBorder="1"/>
    <xf numFmtId="3" fontId="18" fillId="0" borderId="36" xfId="78" applyNumberFormat="1" applyFont="1" applyFill="1" applyBorder="1" applyAlignment="1">
      <alignment horizontal="right"/>
    </xf>
    <xf numFmtId="0" fontId="40" fillId="0" borderId="37" xfId="78" applyFont="1" applyFill="1" applyBorder="1" applyAlignment="1">
      <alignment wrapText="1"/>
    </xf>
    <xf numFmtId="0" fontId="40" fillId="0" borderId="50" xfId="78" applyFont="1" applyBorder="1"/>
    <xf numFmtId="0" fontId="18" fillId="0" borderId="18" xfId="78" applyFont="1" applyFill="1" applyBorder="1"/>
    <xf numFmtId="0" fontId="40" fillId="0" borderId="66" xfId="78" applyFont="1" applyFill="1" applyBorder="1"/>
    <xf numFmtId="3" fontId="40" fillId="0" borderId="95" xfId="78" applyNumberFormat="1" applyFont="1" applyFill="1" applyBorder="1"/>
    <xf numFmtId="0" fontId="40" fillId="0" borderId="0" xfId="0" applyFont="1" applyFill="1" applyBorder="1" applyAlignment="1">
      <alignment wrapText="1"/>
    </xf>
    <xf numFmtId="0" fontId="40" fillId="0" borderId="37" xfId="0" applyFont="1" applyFill="1" applyBorder="1" applyAlignment="1">
      <alignment horizontal="justify" wrapText="1"/>
    </xf>
    <xf numFmtId="0" fontId="40" fillId="0" borderId="37" xfId="0" applyFont="1" applyFill="1" applyBorder="1" applyAlignment="1">
      <alignment wrapText="1"/>
    </xf>
    <xf numFmtId="3" fontId="65" fillId="0" borderId="36" xfId="78" applyNumberFormat="1" applyFont="1" applyFill="1" applyBorder="1" applyAlignment="1">
      <alignment horizontal="right"/>
    </xf>
    <xf numFmtId="3" fontId="40" fillId="0" borderId="39" xfId="78" applyNumberFormat="1" applyFont="1" applyFill="1" applyBorder="1"/>
    <xf numFmtId="3" fontId="65" fillId="0" borderId="15" xfId="78" applyNumberFormat="1" applyFont="1" applyFill="1" applyBorder="1" applyAlignment="1">
      <alignment horizontal="right"/>
    </xf>
    <xf numFmtId="3" fontId="40" fillId="0" borderId="31" xfId="78" applyNumberFormat="1" applyFont="1" applyFill="1" applyBorder="1"/>
    <xf numFmtId="0" fontId="40" fillId="0" borderId="50" xfId="0" applyFont="1" applyFill="1" applyBorder="1" applyAlignment="1">
      <alignment wrapText="1"/>
    </xf>
    <xf numFmtId="0" fontId="40" fillId="0" borderId="50" xfId="78" applyFont="1" applyFill="1" applyBorder="1" applyAlignment="1">
      <alignment wrapText="1"/>
    </xf>
    <xf numFmtId="3" fontId="65" fillId="0" borderId="52" xfId="78" applyNumberFormat="1" applyFont="1" applyFill="1" applyBorder="1" applyAlignment="1">
      <alignment horizontal="right"/>
    </xf>
    <xf numFmtId="0" fontId="65" fillId="0" borderId="50" xfId="78" applyFont="1" applyFill="1" applyBorder="1" applyAlignment="1">
      <alignment horizontal="left" wrapText="1"/>
    </xf>
    <xf numFmtId="3" fontId="18" fillId="0" borderId="32" xfId="78" applyNumberFormat="1" applyFont="1" applyFill="1" applyBorder="1" applyAlignment="1">
      <alignment horizontal="right"/>
    </xf>
    <xf numFmtId="2" fontId="18" fillId="0" borderId="58" xfId="78" applyNumberFormat="1" applyFont="1" applyBorder="1"/>
    <xf numFmtId="3" fontId="18" fillId="0" borderId="15" xfId="78" applyNumberFormat="1" applyFont="1" applyFill="1" applyBorder="1"/>
    <xf numFmtId="0" fontId="18" fillId="0" borderId="17" xfId="78" applyFont="1" applyBorder="1" applyAlignment="1">
      <alignment horizontal="right"/>
    </xf>
    <xf numFmtId="0" fontId="18" fillId="0" borderId="22" xfId="78" applyFont="1" applyBorder="1"/>
    <xf numFmtId="3" fontId="18" fillId="0" borderId="43" xfId="78" applyNumberFormat="1" applyFont="1" applyFill="1" applyBorder="1"/>
    <xf numFmtId="2" fontId="18" fillId="0" borderId="54" xfId="78" applyNumberFormat="1" applyFont="1" applyBorder="1"/>
    <xf numFmtId="0" fontId="40" fillId="0" borderId="20" xfId="78" applyFont="1" applyBorder="1" applyAlignment="1">
      <alignment horizontal="right"/>
    </xf>
    <xf numFmtId="0" fontId="18" fillId="0" borderId="96" xfId="78" applyFont="1" applyFill="1" applyBorder="1"/>
    <xf numFmtId="3" fontId="18" fillId="0" borderId="21" xfId="78" applyNumberFormat="1" applyFont="1" applyBorder="1"/>
    <xf numFmtId="0" fontId="18" fillId="0" borderId="0" xfId="78" applyFont="1" applyBorder="1" applyAlignment="1">
      <alignment horizontal="center"/>
    </xf>
    <xf numFmtId="0" fontId="18" fillId="0" borderId="46" xfId="78" applyFont="1" applyBorder="1"/>
    <xf numFmtId="0" fontId="40" fillId="0" borderId="66" xfId="78" applyFont="1" applyFill="1" applyBorder="1" applyAlignment="1">
      <alignment wrapText="1"/>
    </xf>
    <xf numFmtId="0" fontId="65" fillId="0" borderId="66" xfId="78" applyFont="1" applyFill="1" applyBorder="1" applyAlignment="1">
      <alignment horizontal="left"/>
    </xf>
    <xf numFmtId="0" fontId="65" fillId="0" borderId="37" xfId="78" applyFont="1" applyFill="1" applyBorder="1" applyAlignment="1">
      <alignment horizontal="left"/>
    </xf>
    <xf numFmtId="0" fontId="105" fillId="0" borderId="37" xfId="0" applyFont="1" applyBorder="1" applyAlignment="1">
      <alignment horizontal="justify"/>
    </xf>
    <xf numFmtId="3" fontId="18" fillId="0" borderId="43" xfId="0" applyNumberFormat="1" applyFont="1" applyBorder="1" applyAlignment="1">
      <alignment horizontal="center"/>
    </xf>
    <xf numFmtId="3" fontId="18" fillId="0" borderId="58" xfId="78" applyNumberFormat="1" applyFont="1" applyFill="1" applyBorder="1"/>
    <xf numFmtId="3" fontId="3" fillId="0" borderId="77" xfId="78" applyNumberFormat="1" applyFont="1" applyFill="1" applyBorder="1" applyAlignment="1">
      <alignment horizontal="right"/>
    </xf>
    <xf numFmtId="3" fontId="3" fillId="0" borderId="78" xfId="78" applyNumberFormat="1" applyFont="1" applyFill="1" applyBorder="1"/>
    <xf numFmtId="3" fontId="106" fillId="0" borderId="36" xfId="95" applyNumberFormat="1" applyFont="1" applyFill="1" applyBorder="1"/>
    <xf numFmtId="3" fontId="106" fillId="0" borderId="37" xfId="95" applyNumberFormat="1" applyFont="1" applyFill="1" applyBorder="1"/>
    <xf numFmtId="3" fontId="106" fillId="0" borderId="68" xfId="95" applyNumberFormat="1" applyFont="1" applyFill="1" applyBorder="1"/>
    <xf numFmtId="0" fontId="86" fillId="0" borderId="133" xfId="79" applyFont="1" applyBorder="1" applyAlignment="1">
      <alignment wrapText="1"/>
    </xf>
    <xf numFmtId="0" fontId="145" fillId="0" borderId="0" xfId="91" applyFont="1" applyFill="1"/>
    <xf numFmtId="0" fontId="67" fillId="0" borderId="37" xfId="78" applyFont="1" applyFill="1" applyBorder="1" applyAlignment="1">
      <alignment horizontal="left"/>
    </xf>
    <xf numFmtId="0" fontId="67" fillId="0" borderId="37" xfId="0" applyFont="1" applyFill="1" applyBorder="1" applyAlignment="1">
      <alignment horizontal="left"/>
    </xf>
    <xf numFmtId="3" fontId="146" fillId="0" borderId="0" xfId="76" applyNumberFormat="1" applyFont="1" applyFill="1"/>
    <xf numFmtId="3" fontId="146" fillId="0" borderId="0" xfId="76" applyNumberFormat="1" applyFont="1" applyFill="1" applyBorder="1" applyAlignment="1">
      <alignment horizontal="right"/>
    </xf>
    <xf numFmtId="3" fontId="147" fillId="0" borderId="0" xfId="76" applyNumberFormat="1" applyFont="1" applyFill="1"/>
    <xf numFmtId="3" fontId="146" fillId="0" borderId="0" xfId="76" applyNumberFormat="1" applyFont="1" applyFill="1" applyBorder="1" applyAlignment="1">
      <alignment horizontal="center"/>
    </xf>
    <xf numFmtId="3" fontId="146" fillId="0" borderId="0" xfId="76" applyNumberFormat="1" applyFont="1" applyFill="1" applyBorder="1"/>
    <xf numFmtId="3" fontId="148" fillId="0" borderId="0" xfId="76" applyNumberFormat="1" applyFont="1" applyFill="1" applyBorder="1"/>
    <xf numFmtId="3" fontId="149" fillId="0" borderId="23" xfId="76" applyNumberFormat="1" applyFont="1" applyFill="1" applyBorder="1" applyAlignment="1">
      <alignment horizontal="center"/>
    </xf>
    <xf numFmtId="3" fontId="149" fillId="0" borderId="0" xfId="76" applyNumberFormat="1" applyFont="1" applyFill="1" applyBorder="1" applyAlignment="1">
      <alignment horizontal="center"/>
    </xf>
    <xf numFmtId="3" fontId="149" fillId="0" borderId="18" xfId="76" applyNumberFormat="1" applyFont="1" applyFill="1" applyBorder="1" applyAlignment="1">
      <alignment horizontal="center" vertical="center"/>
    </xf>
    <xf numFmtId="3" fontId="150" fillId="0" borderId="0" xfId="76" applyNumberFormat="1" applyFont="1" applyFill="1" applyBorder="1" applyAlignment="1">
      <alignment horizontal="justify"/>
    </xf>
    <xf numFmtId="3" fontId="149" fillId="0" borderId="0" xfId="76" applyNumberFormat="1" applyFont="1" applyFill="1" applyBorder="1" applyAlignment="1">
      <alignment horizontal="justify"/>
    </xf>
    <xf numFmtId="3" fontId="149" fillId="0" borderId="70" xfId="76" applyNumberFormat="1" applyFont="1" applyFill="1" applyBorder="1" applyAlignment="1">
      <alignment horizontal="center" vertical="center"/>
    </xf>
    <xf numFmtId="3" fontId="149" fillId="0" borderId="70" xfId="76" applyNumberFormat="1" applyFont="1" applyFill="1" applyBorder="1" applyAlignment="1">
      <alignment horizontal="center" vertical="center" wrapText="1"/>
    </xf>
    <xf numFmtId="3" fontId="149" fillId="0" borderId="84" xfId="76" applyNumberFormat="1" applyFont="1" applyFill="1" applyBorder="1" applyAlignment="1">
      <alignment horizontal="center" vertical="center"/>
    </xf>
    <xf numFmtId="3" fontId="149" fillId="0" borderId="84" xfId="76" applyNumberFormat="1" applyFont="1" applyFill="1" applyBorder="1" applyAlignment="1">
      <alignment horizontal="right"/>
    </xf>
    <xf numFmtId="3" fontId="149" fillId="0" borderId="84" xfId="76" applyNumberFormat="1" applyFont="1" applyFill="1" applyBorder="1" applyAlignment="1">
      <alignment horizontal="center"/>
    </xf>
    <xf numFmtId="3" fontId="149" fillId="0" borderId="0" xfId="76" applyNumberFormat="1" applyFont="1" applyFill="1" applyBorder="1"/>
    <xf numFmtId="3" fontId="146" fillId="0" borderId="119" xfId="76" applyNumberFormat="1" applyFont="1" applyFill="1" applyBorder="1" applyAlignment="1">
      <alignment horizontal="left"/>
    </xf>
    <xf numFmtId="3" fontId="146" fillId="0" borderId="119" xfId="76" applyNumberFormat="1" applyFont="1" applyFill="1" applyBorder="1" applyAlignment="1">
      <alignment horizontal="right"/>
    </xf>
    <xf numFmtId="10" fontId="146" fillId="0" borderId="119" xfId="76" applyNumberFormat="1" applyFont="1" applyFill="1" applyBorder="1" applyAlignment="1">
      <alignment horizontal="right"/>
    </xf>
    <xf numFmtId="3" fontId="146" fillId="0" borderId="70" xfId="76" applyNumberFormat="1" applyFont="1" applyBorder="1" applyAlignment="1" applyProtection="1">
      <alignment horizontal="left"/>
    </xf>
    <xf numFmtId="3" fontId="146" fillId="0" borderId="69" xfId="76" applyNumberFormat="1" applyFont="1" applyFill="1" applyBorder="1" applyAlignment="1">
      <alignment horizontal="right"/>
    </xf>
    <xf numFmtId="10" fontId="146" fillId="0" borderId="69" xfId="76" applyNumberFormat="1" applyFont="1" applyFill="1" applyBorder="1" applyAlignment="1">
      <alignment horizontal="right"/>
    </xf>
    <xf numFmtId="10" fontId="146" fillId="0" borderId="77" xfId="76" applyNumberFormat="1" applyFont="1" applyFill="1" applyBorder="1" applyAlignment="1">
      <alignment horizontal="right"/>
    </xf>
    <xf numFmtId="3" fontId="146" fillId="0" borderId="17" xfId="76" applyNumberFormat="1" applyFont="1" applyFill="1" applyBorder="1" applyAlignment="1" applyProtection="1">
      <alignment horizontal="left"/>
    </xf>
    <xf numFmtId="3" fontId="146" fillId="0" borderId="78" xfId="76" applyNumberFormat="1" applyFont="1" applyFill="1" applyBorder="1" applyAlignment="1">
      <alignment horizontal="right"/>
    </xf>
    <xf numFmtId="10" fontId="146" fillId="0" borderId="78" xfId="76" applyNumberFormat="1" applyFont="1" applyFill="1" applyBorder="1" applyAlignment="1">
      <alignment horizontal="right"/>
    </xf>
    <xf numFmtId="10" fontId="146" fillId="0" borderId="70" xfId="76" applyNumberFormat="1" applyFont="1" applyFill="1" applyBorder="1" applyAlignment="1">
      <alignment horizontal="right"/>
    </xf>
    <xf numFmtId="3" fontId="146" fillId="0" borderId="69" xfId="76" applyNumberFormat="1" applyFont="1" applyFill="1" applyBorder="1" applyAlignment="1" applyProtection="1">
      <alignment horizontal="center" vertical="center"/>
    </xf>
    <xf numFmtId="3" fontId="151" fillId="0" borderId="69" xfId="76" applyNumberFormat="1" applyFont="1" applyFill="1" applyBorder="1" applyAlignment="1" applyProtection="1">
      <alignment horizontal="center"/>
    </xf>
    <xf numFmtId="3" fontId="146" fillId="0" borderId="76" xfId="76" applyNumberFormat="1" applyFont="1" applyFill="1" applyBorder="1" applyProtection="1"/>
    <xf numFmtId="3" fontId="152" fillId="0" borderId="69" xfId="76" applyNumberFormat="1" applyFont="1" applyFill="1" applyBorder="1" applyAlignment="1">
      <alignment horizontal="right"/>
    </xf>
    <xf numFmtId="3" fontId="146" fillId="0" borderId="79" xfId="76" applyNumberFormat="1" applyFont="1" applyFill="1" applyBorder="1" applyAlignment="1">
      <alignment horizontal="left"/>
    </xf>
    <xf numFmtId="3" fontId="146" fillId="0" borderId="79" xfId="76" applyNumberFormat="1" applyFont="1" applyFill="1" applyBorder="1" applyAlignment="1">
      <alignment horizontal="right"/>
    </xf>
    <xf numFmtId="10" fontId="146" fillId="32" borderId="119" xfId="76" applyNumberFormat="1" applyFont="1" applyFill="1" applyBorder="1" applyAlignment="1">
      <alignment horizontal="right"/>
    </xf>
    <xf numFmtId="10" fontId="146" fillId="0" borderId="79" xfId="76" applyNumberFormat="1" applyFont="1" applyFill="1" applyBorder="1" applyAlignment="1">
      <alignment horizontal="right"/>
    </xf>
    <xf numFmtId="3" fontId="146" fillId="0" borderId="91" xfId="76" applyNumberFormat="1" applyFont="1" applyFill="1" applyBorder="1" applyAlignment="1">
      <alignment horizontal="left"/>
    </xf>
    <xf numFmtId="3" fontId="146" fillId="0" borderId="91" xfId="76" applyNumberFormat="1" applyFont="1" applyFill="1" applyBorder="1" applyAlignment="1">
      <alignment horizontal="right"/>
    </xf>
    <xf numFmtId="3" fontId="146" fillId="0" borderId="78" xfId="76" applyNumberFormat="1" applyFont="1" applyFill="1" applyBorder="1" applyAlignment="1" applyProtection="1">
      <alignment horizontal="left"/>
    </xf>
    <xf numFmtId="3" fontId="151" fillId="0" borderId="84" xfId="76" applyNumberFormat="1" applyFont="1" applyFill="1" applyBorder="1" applyAlignment="1" applyProtection="1">
      <alignment horizontal="center"/>
    </xf>
    <xf numFmtId="3" fontId="146" fillId="0" borderId="84" xfId="76" applyNumberFormat="1" applyFont="1" applyFill="1" applyBorder="1" applyAlignment="1">
      <alignment horizontal="right"/>
    </xf>
    <xf numFmtId="3" fontId="146" fillId="0" borderId="76" xfId="76" applyNumberFormat="1" applyFont="1" applyFill="1" applyBorder="1" applyAlignment="1">
      <alignment horizontal="right"/>
    </xf>
    <xf numFmtId="3" fontId="146" fillId="0" borderId="77" xfId="76" applyNumberFormat="1" applyFont="1" applyFill="1" applyBorder="1" applyAlignment="1" applyProtection="1">
      <alignment horizontal="left"/>
    </xf>
    <xf numFmtId="3" fontId="146" fillId="0" borderId="77" xfId="76" applyNumberFormat="1" applyFont="1" applyFill="1" applyBorder="1" applyAlignment="1">
      <alignment horizontal="right"/>
    </xf>
    <xf numFmtId="3" fontId="146" fillId="0" borderId="76" xfId="76" applyNumberFormat="1" applyFont="1" applyFill="1" applyBorder="1" applyAlignment="1" applyProtection="1">
      <alignment wrapText="1"/>
    </xf>
    <xf numFmtId="3" fontId="146" fillId="0" borderId="119" xfId="76" applyNumberFormat="1" applyFont="1" applyFill="1" applyBorder="1" applyAlignment="1" applyProtection="1">
      <alignment horizontal="justify"/>
    </xf>
    <xf numFmtId="3" fontId="146" fillId="0" borderId="125" xfId="76" applyNumberFormat="1" applyFont="1" applyFill="1" applyBorder="1" applyAlignment="1">
      <alignment horizontal="right"/>
    </xf>
    <xf numFmtId="3" fontId="146" fillId="0" borderId="69" xfId="76" applyNumberFormat="1" applyFont="1" applyFill="1" applyBorder="1" applyAlignment="1" applyProtection="1">
      <alignment horizontal="justify"/>
    </xf>
    <xf numFmtId="10" fontId="146" fillId="0" borderId="69" xfId="76" applyNumberFormat="1" applyFont="1" applyFill="1" applyBorder="1" applyAlignment="1"/>
    <xf numFmtId="3" fontId="146" fillId="0" borderId="0" xfId="76" applyNumberFormat="1" applyFont="1" applyFill="1" applyBorder="1" applyAlignment="1">
      <alignment horizontal="justify"/>
    </xf>
    <xf numFmtId="3" fontId="146" fillId="0" borderId="78" xfId="76" applyNumberFormat="1" applyFont="1" applyFill="1" applyBorder="1" applyAlignment="1">
      <alignment horizontal="left"/>
    </xf>
    <xf numFmtId="10" fontId="146" fillId="0" borderId="84" xfId="76" applyNumberFormat="1" applyFont="1" applyFill="1" applyBorder="1" applyAlignment="1">
      <alignment horizontal="right"/>
    </xf>
    <xf numFmtId="3" fontId="146" fillId="0" borderId="70" xfId="76" applyNumberFormat="1" applyFont="1" applyFill="1" applyBorder="1" applyAlignment="1" applyProtection="1">
      <alignment horizontal="left"/>
    </xf>
    <xf numFmtId="3" fontId="146" fillId="0" borderId="77" xfId="76" applyNumberFormat="1" applyFont="1" applyFill="1" applyBorder="1" applyAlignment="1" applyProtection="1"/>
    <xf numFmtId="3" fontId="146" fillId="0" borderId="78" xfId="76" applyNumberFormat="1" applyFont="1" applyFill="1" applyBorder="1" applyAlignment="1" applyProtection="1">
      <alignment horizontal="left" vertical="center"/>
    </xf>
    <xf numFmtId="10" fontId="146" fillId="0" borderId="133" xfId="76" applyNumberFormat="1" applyFont="1" applyFill="1" applyBorder="1" applyAlignment="1">
      <alignment horizontal="right"/>
    </xf>
    <xf numFmtId="0" fontId="146" fillId="0" borderId="0" xfId="76" applyFont="1" applyBorder="1" applyAlignment="1">
      <alignment horizontal="left"/>
    </xf>
    <xf numFmtId="3" fontId="153" fillId="0" borderId="0" xfId="76" applyNumberFormat="1" applyFont="1" applyFill="1" applyBorder="1" applyAlignment="1">
      <alignment horizontal="right"/>
    </xf>
    <xf numFmtId="0" fontId="147" fillId="0" borderId="0" xfId="76" applyFont="1" applyBorder="1" applyAlignment="1">
      <alignment horizontal="left"/>
    </xf>
    <xf numFmtId="3" fontId="153" fillId="0" borderId="0" xfId="76" applyNumberFormat="1" applyFont="1" applyFill="1" applyBorder="1" applyAlignment="1">
      <alignment horizontal="center"/>
    </xf>
    <xf numFmtId="3" fontId="153" fillId="0" borderId="0" xfId="76" applyNumberFormat="1" applyFont="1" applyFill="1" applyBorder="1"/>
    <xf numFmtId="3" fontId="154" fillId="0" borderId="0" xfId="76" applyNumberFormat="1" applyFont="1" applyFill="1" applyBorder="1"/>
    <xf numFmtId="0" fontId="154" fillId="0" borderId="0" xfId="76" applyFont="1" applyBorder="1" applyProtection="1"/>
    <xf numFmtId="0" fontId="153" fillId="0" borderId="0" xfId="76" applyFont="1" applyBorder="1" applyProtection="1"/>
    <xf numFmtId="3" fontId="153" fillId="0" borderId="0" xfId="76" applyNumberFormat="1" applyFont="1" applyBorder="1" applyProtection="1"/>
    <xf numFmtId="0" fontId="146" fillId="0" borderId="0" xfId="76" applyFont="1"/>
    <xf numFmtId="3" fontId="147" fillId="0" borderId="0" xfId="76" applyNumberFormat="1" applyFont="1" applyFill="1" applyBorder="1" applyAlignment="1">
      <alignment horizontal="right"/>
    </xf>
    <xf numFmtId="0" fontId="147" fillId="0" borderId="0" xfId="76" applyFont="1"/>
    <xf numFmtId="3" fontId="147" fillId="0" borderId="0" xfId="76" applyNumberFormat="1" applyFont="1" applyFill="1" applyBorder="1" applyAlignment="1">
      <alignment horizontal="center"/>
    </xf>
    <xf numFmtId="3" fontId="63" fillId="0" borderId="0" xfId="76" applyNumberFormat="1" applyFont="1" applyFill="1"/>
    <xf numFmtId="3" fontId="4" fillId="0" borderId="0" xfId="76" applyNumberFormat="1" applyFont="1" applyFill="1" applyBorder="1" applyAlignment="1">
      <alignment horizontal="right"/>
    </xf>
    <xf numFmtId="3" fontId="139" fillId="0" borderId="0" xfId="76" applyNumberFormat="1" applyFont="1" applyFill="1" applyAlignment="1">
      <alignment horizontal="left"/>
    </xf>
    <xf numFmtId="3" fontId="81" fillId="0" borderId="0" xfId="76" applyNumberFormat="1" applyFont="1" applyFill="1"/>
    <xf numFmtId="3" fontId="4" fillId="0" borderId="0" xfId="76" applyNumberFormat="1" applyFont="1" applyFill="1" applyBorder="1"/>
    <xf numFmtId="3" fontId="147" fillId="0" borderId="84" xfId="76" applyNumberFormat="1" applyFont="1" applyFill="1" applyBorder="1" applyAlignment="1">
      <alignment horizontal="center" vertical="center"/>
    </xf>
    <xf numFmtId="3" fontId="147" fillId="0" borderId="84" xfId="76" applyNumberFormat="1" applyFont="1" applyFill="1" applyBorder="1" applyAlignment="1">
      <alignment horizontal="right"/>
    </xf>
    <xf numFmtId="3" fontId="21" fillId="0" borderId="0" xfId="76" applyNumberFormat="1" applyFont="1" applyFill="1" applyBorder="1"/>
    <xf numFmtId="3" fontId="147" fillId="0" borderId="119" xfId="76" applyNumberFormat="1" applyFont="1" applyFill="1" applyBorder="1" applyAlignment="1">
      <alignment horizontal="left"/>
    </xf>
    <xf numFmtId="3" fontId="147" fillId="0" borderId="119" xfId="76" applyNumberFormat="1" applyFont="1" applyFill="1" applyBorder="1" applyAlignment="1">
      <alignment horizontal="right"/>
    </xf>
    <xf numFmtId="10" fontId="147" fillId="0" borderId="119" xfId="76" applyNumberFormat="1" applyFont="1" applyFill="1" applyBorder="1" applyAlignment="1">
      <alignment horizontal="right"/>
    </xf>
    <xf numFmtId="0" fontId="81" fillId="0" borderId="0" xfId="76" applyFont="1" applyBorder="1" applyAlignment="1">
      <alignment horizontal="left"/>
    </xf>
    <xf numFmtId="3" fontId="6" fillId="0" borderId="0" xfId="76" applyNumberFormat="1" applyFont="1" applyFill="1" applyBorder="1" applyAlignment="1">
      <alignment horizontal="right"/>
    </xf>
    <xf numFmtId="0" fontId="139" fillId="0" borderId="0" xfId="76" applyFont="1" applyBorder="1" applyAlignment="1">
      <alignment horizontal="left"/>
    </xf>
    <xf numFmtId="3" fontId="81" fillId="0" borderId="0" xfId="76" applyNumberFormat="1" applyFont="1" applyBorder="1" applyAlignment="1">
      <alignment horizontal="left"/>
    </xf>
    <xf numFmtId="3" fontId="6" fillId="0" borderId="0" xfId="76" applyNumberFormat="1" applyFont="1" applyFill="1" applyBorder="1"/>
    <xf numFmtId="0" fontId="156" fillId="0" borderId="0" xfId="76" applyFont="1" applyBorder="1" applyProtection="1"/>
    <xf numFmtId="3" fontId="156" fillId="0" borderId="0" xfId="76" applyNumberFormat="1" applyFont="1" applyFill="1" applyBorder="1" applyAlignment="1">
      <alignment horizontal="right"/>
    </xf>
    <xf numFmtId="0" fontId="156" fillId="0" borderId="0" xfId="76" applyFont="1" applyBorder="1" applyAlignment="1" applyProtection="1">
      <alignment horizontal="left"/>
    </xf>
    <xf numFmtId="3" fontId="156" fillId="0" borderId="0" xfId="76" applyNumberFormat="1" applyFont="1" applyBorder="1" applyProtection="1"/>
    <xf numFmtId="3" fontId="156" fillId="0" borderId="78" xfId="76" applyNumberFormat="1" applyFont="1" applyBorder="1" applyProtection="1"/>
    <xf numFmtId="3" fontId="156" fillId="0" borderId="0" xfId="76" applyNumberFormat="1" applyFont="1" applyFill="1" applyBorder="1"/>
    <xf numFmtId="0" fontId="156" fillId="0" borderId="0" xfId="76" applyFont="1"/>
    <xf numFmtId="0" fontId="125" fillId="0" borderId="0" xfId="76" applyFont="1"/>
    <xf numFmtId="0" fontId="157" fillId="0" borderId="0" xfId="76" applyFont="1" applyAlignment="1">
      <alignment horizontal="left"/>
    </xf>
    <xf numFmtId="3" fontId="125" fillId="0" borderId="0" xfId="76" applyNumberFormat="1" applyFont="1"/>
    <xf numFmtId="0" fontId="118" fillId="0" borderId="0" xfId="106" applyFont="1"/>
    <xf numFmtId="0" fontId="118" fillId="0" borderId="0" xfId="106" applyFont="1" applyBorder="1"/>
    <xf numFmtId="0" fontId="121" fillId="0" borderId="0" xfId="106" applyFont="1" applyBorder="1" applyAlignment="1">
      <alignment horizontal="center"/>
    </xf>
    <xf numFmtId="0" fontId="121" fillId="0" borderId="0" xfId="106" applyFont="1" applyFill="1" applyBorder="1" applyAlignment="1">
      <alignment horizontal="center"/>
    </xf>
    <xf numFmtId="0" fontId="18" fillId="0" borderId="0" xfId="106" applyFont="1"/>
    <xf numFmtId="0" fontId="92" fillId="0" borderId="0" xfId="107"/>
    <xf numFmtId="3" fontId="158" fillId="0" borderId="69" xfId="108" applyNumberFormat="1" applyFont="1" applyBorder="1" applyAlignment="1">
      <alignment horizontal="center"/>
    </xf>
    <xf numFmtId="0" fontId="63" fillId="0" borderId="0" xfId="106" applyFont="1"/>
    <xf numFmtId="0" fontId="63" fillId="0" borderId="0" xfId="106" applyFont="1" applyFill="1"/>
    <xf numFmtId="0" fontId="159" fillId="27" borderId="0" xfId="106" applyFont="1" applyFill="1" applyAlignment="1">
      <alignment horizontal="left"/>
    </xf>
    <xf numFmtId="49" fontId="160" fillId="0" borderId="0" xfId="106" applyNumberFormat="1" applyFont="1"/>
    <xf numFmtId="49" fontId="160" fillId="0" borderId="0" xfId="106" applyNumberFormat="1" applyFont="1" applyFill="1"/>
    <xf numFmtId="0" fontId="160" fillId="0" borderId="0" xfId="106" applyFont="1"/>
    <xf numFmtId="0" fontId="160" fillId="0" borderId="0" xfId="106" applyFont="1" applyFill="1"/>
    <xf numFmtId="0" fontId="161" fillId="0" borderId="0" xfId="107" applyFont="1"/>
    <xf numFmtId="0" fontId="159" fillId="27" borderId="0" xfId="106" applyFont="1" applyFill="1"/>
    <xf numFmtId="0" fontId="162" fillId="27" borderId="0" xfId="106" applyFont="1" applyFill="1"/>
    <xf numFmtId="0" fontId="159" fillId="0" borderId="0" xfId="106" applyFont="1" applyAlignment="1">
      <alignment horizontal="left"/>
    </xf>
    <xf numFmtId="49" fontId="63" fillId="0" borderId="0" xfId="106" applyNumberFormat="1" applyFont="1" applyFill="1"/>
    <xf numFmtId="0" fontId="80" fillId="0" borderId="0" xfId="107" applyFont="1"/>
    <xf numFmtId="0" fontId="159" fillId="0" borderId="0" xfId="106" applyFont="1"/>
    <xf numFmtId="0" fontId="18" fillId="0" borderId="0" xfId="106" applyFont="1" applyFill="1"/>
    <xf numFmtId="3" fontId="8" fillId="0" borderId="74" xfId="78" applyNumberFormat="1" applyFont="1" applyFill="1" applyBorder="1" applyAlignment="1">
      <alignment horizontal="right"/>
    </xf>
    <xf numFmtId="3" fontId="38" fillId="0" borderId="0" xfId="0" applyNumberFormat="1" applyFont="1" applyFill="1" applyBorder="1"/>
    <xf numFmtId="3" fontId="163" fillId="0" borderId="23" xfId="76" applyNumberFormat="1" applyFont="1" applyFill="1" applyBorder="1" applyAlignment="1">
      <alignment horizontal="left"/>
    </xf>
    <xf numFmtId="3" fontId="149" fillId="0" borderId="53" xfId="76" applyNumberFormat="1" applyFont="1" applyFill="1" applyBorder="1" applyAlignment="1">
      <alignment horizontal="center" vertical="center"/>
    </xf>
    <xf numFmtId="3" fontId="149" fillId="0" borderId="18" xfId="76" applyNumberFormat="1" applyFont="1" applyFill="1" applyBorder="1" applyAlignment="1">
      <alignment horizontal="center"/>
    </xf>
    <xf numFmtId="3" fontId="163" fillId="0" borderId="18" xfId="76" applyNumberFormat="1" applyFont="1" applyFill="1" applyBorder="1" applyAlignment="1">
      <alignment horizontal="left"/>
    </xf>
    <xf numFmtId="3" fontId="149" fillId="0" borderId="87" xfId="76" applyNumberFormat="1" applyFont="1" applyFill="1" applyBorder="1" applyAlignment="1">
      <alignment horizontal="center" vertical="center"/>
    </xf>
    <xf numFmtId="3" fontId="149" fillId="0" borderId="19" xfId="76" applyNumberFormat="1" applyFont="1" applyFill="1" applyBorder="1" applyAlignment="1">
      <alignment horizontal="center" vertical="center"/>
    </xf>
    <xf numFmtId="3" fontId="149" fillId="0" borderId="78" xfId="76" applyNumberFormat="1" applyFont="1" applyFill="1" applyBorder="1" applyAlignment="1">
      <alignment horizontal="center"/>
    </xf>
    <xf numFmtId="3" fontId="149" fillId="0" borderId="119" xfId="76" applyNumberFormat="1" applyFont="1" applyFill="1" applyBorder="1" applyAlignment="1">
      <alignment horizontal="left"/>
    </xf>
    <xf numFmtId="3" fontId="149" fillId="0" borderId="119" xfId="76" applyNumberFormat="1" applyFont="1" applyFill="1" applyBorder="1" applyAlignment="1">
      <alignment horizontal="right"/>
    </xf>
    <xf numFmtId="10" fontId="149" fillId="0" borderId="119" xfId="76" applyNumberFormat="1" applyFont="1" applyFill="1" applyBorder="1" applyAlignment="1">
      <alignment horizontal="right"/>
    </xf>
    <xf numFmtId="3" fontId="149" fillId="0" borderId="70" xfId="76" applyNumberFormat="1" applyFont="1" applyBorder="1" applyAlignment="1" applyProtection="1">
      <alignment horizontal="left"/>
    </xf>
    <xf numFmtId="3" fontId="149" fillId="0" borderId="69" xfId="76" applyNumberFormat="1" applyFont="1" applyFill="1" applyBorder="1" applyAlignment="1">
      <alignment horizontal="right"/>
    </xf>
    <xf numFmtId="10" fontId="149" fillId="0" borderId="69" xfId="76" applyNumberFormat="1" applyFont="1" applyFill="1" applyBorder="1" applyAlignment="1">
      <alignment horizontal="right"/>
    </xf>
    <xf numFmtId="3" fontId="149" fillId="0" borderId="17" xfId="76" applyNumberFormat="1" applyFont="1" applyFill="1" applyBorder="1" applyAlignment="1" applyProtection="1">
      <alignment horizontal="left"/>
    </xf>
    <xf numFmtId="3" fontId="149" fillId="0" borderId="78" xfId="76" applyNumberFormat="1" applyFont="1" applyFill="1" applyBorder="1" applyAlignment="1">
      <alignment horizontal="right"/>
    </xf>
    <xf numFmtId="10" fontId="149" fillId="0" borderId="78" xfId="76" applyNumberFormat="1" applyFont="1" applyFill="1" applyBorder="1" applyAlignment="1">
      <alignment horizontal="right"/>
    </xf>
    <xf numFmtId="10" fontId="149" fillId="0" borderId="70" xfId="76" applyNumberFormat="1" applyFont="1" applyFill="1" applyBorder="1" applyAlignment="1">
      <alignment horizontal="right"/>
    </xf>
    <xf numFmtId="3" fontId="149" fillId="0" borderId="69" xfId="76" applyNumberFormat="1" applyFont="1" applyFill="1" applyBorder="1" applyAlignment="1" applyProtection="1">
      <alignment horizontal="center" vertical="center"/>
    </xf>
    <xf numFmtId="3" fontId="164" fillId="0" borderId="69" xfId="76" applyNumberFormat="1" applyFont="1" applyFill="1" applyBorder="1" applyAlignment="1" applyProtection="1">
      <alignment horizontal="center"/>
    </xf>
    <xf numFmtId="3" fontId="149" fillId="0" borderId="76" xfId="76" applyNumberFormat="1" applyFont="1" applyFill="1" applyBorder="1" applyProtection="1"/>
    <xf numFmtId="3" fontId="149" fillId="0" borderId="79" xfId="76" applyNumberFormat="1" applyFont="1" applyFill="1" applyBorder="1" applyAlignment="1">
      <alignment horizontal="left"/>
    </xf>
    <xf numFmtId="3" fontId="149" fillId="0" borderId="79" xfId="76" applyNumberFormat="1" applyFont="1" applyFill="1" applyBorder="1" applyAlignment="1">
      <alignment horizontal="right"/>
    </xf>
    <xf numFmtId="3" fontId="149" fillId="0" borderId="91" xfId="76" applyNumberFormat="1" applyFont="1" applyFill="1" applyBorder="1" applyAlignment="1">
      <alignment horizontal="left"/>
    </xf>
    <xf numFmtId="3" fontId="149" fillId="0" borderId="78" xfId="76" applyNumberFormat="1" applyFont="1" applyFill="1" applyBorder="1" applyAlignment="1" applyProtection="1">
      <alignment horizontal="left"/>
    </xf>
    <xf numFmtId="3" fontId="164" fillId="0" borderId="84" xfId="76" applyNumberFormat="1" applyFont="1" applyFill="1" applyBorder="1" applyAlignment="1" applyProtection="1">
      <alignment horizontal="center"/>
    </xf>
    <xf numFmtId="3" fontId="149" fillId="0" borderId="76" xfId="76" applyNumberFormat="1" applyFont="1" applyFill="1" applyBorder="1" applyAlignment="1">
      <alignment horizontal="right"/>
    </xf>
    <xf numFmtId="3" fontId="149" fillId="0" borderId="77" xfId="76" applyNumberFormat="1" applyFont="1" applyFill="1" applyBorder="1" applyAlignment="1" applyProtection="1">
      <alignment horizontal="left"/>
    </xf>
    <xf numFmtId="3" fontId="149" fillId="0" borderId="77" xfId="76" applyNumberFormat="1" applyFont="1" applyFill="1" applyBorder="1" applyAlignment="1">
      <alignment horizontal="right"/>
    </xf>
    <xf numFmtId="10" fontId="149" fillId="0" borderId="77" xfId="76" applyNumberFormat="1" applyFont="1" applyFill="1" applyBorder="1" applyAlignment="1">
      <alignment horizontal="right"/>
    </xf>
    <xf numFmtId="3" fontId="149" fillId="0" borderId="119" xfId="76" applyNumberFormat="1" applyFont="1" applyFill="1" applyBorder="1" applyAlignment="1" applyProtection="1">
      <alignment horizontal="justify"/>
    </xf>
    <xf numFmtId="3" fontId="149" fillId="0" borderId="69" xfId="76" applyNumberFormat="1" applyFont="1" applyFill="1" applyBorder="1" applyAlignment="1" applyProtection="1">
      <alignment horizontal="justify"/>
    </xf>
    <xf numFmtId="3" fontId="149" fillId="0" borderId="91" xfId="76" applyNumberFormat="1" applyFont="1" applyFill="1" applyBorder="1" applyAlignment="1">
      <alignment horizontal="right"/>
    </xf>
    <xf numFmtId="3" fontId="149" fillId="0" borderId="78" xfId="76" applyNumberFormat="1" applyFont="1" applyFill="1" applyBorder="1" applyAlignment="1">
      <alignment horizontal="left"/>
    </xf>
    <xf numFmtId="10" fontId="149" fillId="0" borderId="84" xfId="76" applyNumberFormat="1" applyFont="1" applyFill="1" applyBorder="1" applyAlignment="1">
      <alignment horizontal="right"/>
    </xf>
    <xf numFmtId="3" fontId="149" fillId="0" borderId="70" xfId="76" applyNumberFormat="1" applyFont="1" applyFill="1" applyBorder="1" applyAlignment="1" applyProtection="1">
      <alignment horizontal="left"/>
    </xf>
    <xf numFmtId="3" fontId="149" fillId="0" borderId="77" xfId="76" applyNumberFormat="1" applyFont="1" applyFill="1" applyBorder="1" applyAlignment="1" applyProtection="1"/>
    <xf numFmtId="3" fontId="149" fillId="0" borderId="78" xfId="76" applyNumberFormat="1" applyFont="1" applyFill="1" applyBorder="1" applyAlignment="1" applyProtection="1">
      <alignment horizontal="left" vertical="center"/>
    </xf>
    <xf numFmtId="3" fontId="149" fillId="0" borderId="119" xfId="76" applyNumberFormat="1" applyFont="1" applyFill="1" applyBorder="1" applyAlignment="1" applyProtection="1">
      <alignment horizontal="right"/>
    </xf>
    <xf numFmtId="10" fontId="149" fillId="0" borderId="133" xfId="76" applyNumberFormat="1" applyFont="1" applyFill="1" applyBorder="1" applyAlignment="1">
      <alignment horizontal="right"/>
    </xf>
    <xf numFmtId="3" fontId="149" fillId="0" borderId="69" xfId="76" applyNumberFormat="1" applyFont="1" applyFill="1" applyBorder="1" applyAlignment="1" applyProtection="1">
      <alignment horizontal="right"/>
    </xf>
    <xf numFmtId="3" fontId="149" fillId="0" borderId="78" xfId="76" applyNumberFormat="1" applyFont="1" applyFill="1" applyBorder="1" applyAlignment="1" applyProtection="1">
      <alignment horizontal="right"/>
    </xf>
    <xf numFmtId="3" fontId="149" fillId="0" borderId="78" xfId="76" applyNumberFormat="1" applyFont="1" applyFill="1" applyBorder="1" applyAlignment="1" applyProtection="1">
      <alignment vertical="center"/>
    </xf>
    <xf numFmtId="3" fontId="165" fillId="0" borderId="0" xfId="76" applyNumberFormat="1" applyFont="1" applyFill="1" applyBorder="1" applyAlignment="1">
      <alignment horizontal="center"/>
    </xf>
    <xf numFmtId="3" fontId="166" fillId="0" borderId="0" xfId="76" applyNumberFormat="1" applyFont="1" applyFill="1" applyBorder="1"/>
    <xf numFmtId="0" fontId="155" fillId="0" borderId="0" xfId="106" applyFont="1" applyAlignment="1"/>
    <xf numFmtId="0" fontId="155" fillId="0" borderId="0" xfId="106" applyFont="1"/>
    <xf numFmtId="0" fontId="167" fillId="0" borderId="0" xfId="107" applyFont="1"/>
    <xf numFmtId="0" fontId="155" fillId="0" borderId="0" xfId="106" applyFont="1" applyBorder="1" applyAlignment="1"/>
    <xf numFmtId="0" fontId="158" fillId="0" borderId="84" xfId="106" applyFont="1" applyBorder="1"/>
    <xf numFmtId="0" fontId="158" fillId="0" borderId="0" xfId="106" applyFont="1"/>
    <xf numFmtId="0" fontId="168" fillId="0" borderId="0" xfId="107" applyFont="1"/>
    <xf numFmtId="4" fontId="158" fillId="0" borderId="87" xfId="106" applyNumberFormat="1" applyFont="1" applyBorder="1" applyAlignment="1">
      <alignment horizontal="center"/>
    </xf>
    <xf numFmtId="3" fontId="158" fillId="0" borderId="70" xfId="108" applyNumberFormat="1" applyFont="1" applyBorder="1" applyAlignment="1">
      <alignment horizontal="left"/>
    </xf>
    <xf numFmtId="4" fontId="158" fillId="0" borderId="78" xfId="106" applyNumberFormat="1" applyFont="1" applyBorder="1" applyAlignment="1">
      <alignment horizontal="center"/>
    </xf>
    <xf numFmtId="3" fontId="158" fillId="0" borderId="78" xfId="106" applyNumberFormat="1" applyFont="1" applyFill="1" applyBorder="1" applyAlignment="1">
      <alignment horizontal="center"/>
    </xf>
    <xf numFmtId="3" fontId="169" fillId="0" borderId="84" xfId="0" applyNumberFormat="1" applyFont="1" applyFill="1" applyBorder="1" applyAlignment="1">
      <alignment horizontal="center" vertical="center"/>
    </xf>
    <xf numFmtId="4" fontId="170" fillId="0" borderId="84" xfId="106" applyNumberFormat="1" applyFont="1" applyBorder="1" applyAlignment="1">
      <alignment horizontal="justify"/>
    </xf>
    <xf numFmtId="4" fontId="170" fillId="0" borderId="53" xfId="106" applyNumberFormat="1" applyFont="1" applyFill="1" applyBorder="1" applyAlignment="1">
      <alignment horizontal="justify"/>
    </xf>
    <xf numFmtId="4" fontId="170" fillId="0" borderId="53" xfId="106" applyNumberFormat="1" applyFont="1" applyBorder="1" applyAlignment="1">
      <alignment horizontal="justify"/>
    </xf>
    <xf numFmtId="0" fontId="170" fillId="0" borderId="0" xfId="106" applyFont="1" applyAlignment="1">
      <alignment horizontal="justify"/>
    </xf>
    <xf numFmtId="0" fontId="171" fillId="0" borderId="0" xfId="107" applyFont="1" applyAlignment="1">
      <alignment horizontal="justify"/>
    </xf>
    <xf numFmtId="3" fontId="169" fillId="0" borderId="119" xfId="0" applyNumberFormat="1" applyFont="1" applyFill="1" applyBorder="1" applyAlignment="1">
      <alignment horizontal="left"/>
    </xf>
    <xf numFmtId="4" fontId="170" fillId="0" borderId="69" xfId="106" applyNumberFormat="1" applyFont="1" applyBorder="1"/>
    <xf numFmtId="3" fontId="170" fillId="0" borderId="87" xfId="106" applyNumberFormat="1" applyFont="1" applyFill="1" applyBorder="1"/>
    <xf numFmtId="4" fontId="170" fillId="0" borderId="87" xfId="106" applyNumberFormat="1" applyFont="1" applyBorder="1"/>
    <xf numFmtId="3" fontId="170" fillId="0" borderId="87" xfId="106" applyNumberFormat="1" applyFont="1" applyBorder="1"/>
    <xf numFmtId="0" fontId="170" fillId="0" borderId="0" xfId="106" applyFont="1"/>
    <xf numFmtId="0" fontId="171" fillId="0" borderId="0" xfId="107" applyFont="1"/>
    <xf numFmtId="3" fontId="169" fillId="0" borderId="79" xfId="0" applyNumberFormat="1" applyFont="1" applyFill="1" applyBorder="1" applyAlignment="1">
      <alignment horizontal="left"/>
    </xf>
    <xf numFmtId="4" fontId="170" fillId="0" borderId="79" xfId="106" applyNumberFormat="1" applyFont="1" applyBorder="1"/>
    <xf numFmtId="3" fontId="170" fillId="0" borderId="124" xfId="106" applyNumberFormat="1" applyFont="1" applyFill="1" applyBorder="1"/>
    <xf numFmtId="4" fontId="170" fillId="0" borderId="124" xfId="106" applyNumberFormat="1" applyFont="1" applyBorder="1"/>
    <xf numFmtId="3" fontId="170" fillId="0" borderId="124" xfId="106" applyNumberFormat="1" applyFont="1" applyBorder="1"/>
    <xf numFmtId="3" fontId="170" fillId="0" borderId="90" xfId="106" applyNumberFormat="1" applyFont="1" applyFill="1" applyBorder="1"/>
    <xf numFmtId="4" fontId="170" fillId="0" borderId="90" xfId="106" applyNumberFormat="1" applyFont="1" applyBorder="1"/>
    <xf numFmtId="3" fontId="170" fillId="0" borderId="90" xfId="106" applyNumberFormat="1" applyFont="1" applyBorder="1"/>
    <xf numFmtId="3" fontId="170" fillId="0" borderId="103" xfId="106" applyNumberFormat="1" applyFont="1" applyFill="1" applyBorder="1"/>
    <xf numFmtId="4" fontId="170" fillId="0" borderId="103" xfId="106" applyNumberFormat="1" applyFont="1" applyBorder="1"/>
    <xf numFmtId="3" fontId="170" fillId="0" borderId="103" xfId="106" applyNumberFormat="1" applyFont="1" applyBorder="1"/>
    <xf numFmtId="3" fontId="169" fillId="0" borderId="77" xfId="0" applyNumberFormat="1" applyFont="1" applyFill="1" applyBorder="1" applyAlignment="1">
      <alignment horizontal="left"/>
    </xf>
    <xf numFmtId="3" fontId="169" fillId="0" borderId="19" xfId="0" applyNumberFormat="1" applyFont="1" applyFill="1" applyBorder="1" applyAlignment="1" applyProtection="1">
      <alignment horizontal="left"/>
    </xf>
    <xf numFmtId="4" fontId="170" fillId="0" borderId="78" xfId="106" applyNumberFormat="1" applyFont="1" applyBorder="1"/>
    <xf numFmtId="3" fontId="170" fillId="0" borderId="78" xfId="106" applyNumberFormat="1" applyFont="1" applyFill="1" applyBorder="1"/>
    <xf numFmtId="3" fontId="170" fillId="0" borderId="78" xfId="106" applyNumberFormat="1" applyFont="1" applyBorder="1"/>
    <xf numFmtId="3" fontId="169" fillId="0" borderId="17" xfId="0" applyNumberFormat="1" applyFont="1" applyFill="1" applyBorder="1" applyAlignment="1" applyProtection="1">
      <alignment horizontal="left"/>
    </xf>
    <xf numFmtId="4" fontId="170" fillId="0" borderId="124" xfId="106" applyNumberFormat="1" applyFont="1" applyFill="1" applyBorder="1"/>
    <xf numFmtId="0" fontId="170" fillId="0" borderId="0" xfId="106" applyFont="1" applyFill="1"/>
    <xf numFmtId="0" fontId="171" fillId="0" borderId="0" xfId="107" applyFont="1" applyFill="1"/>
    <xf numFmtId="3" fontId="170" fillId="0" borderId="82" xfId="106" applyNumberFormat="1" applyFont="1" applyFill="1" applyBorder="1"/>
    <xf numFmtId="4" fontId="170" fillId="0" borderId="82" xfId="106" applyNumberFormat="1" applyFont="1" applyBorder="1"/>
    <xf numFmtId="3" fontId="170" fillId="0" borderId="82" xfId="106" applyNumberFormat="1" applyFont="1" applyBorder="1"/>
    <xf numFmtId="3" fontId="169" fillId="0" borderId="69" xfId="0" applyNumberFormat="1" applyFont="1" applyFill="1" applyBorder="1" applyAlignment="1" applyProtection="1">
      <alignment horizontal="center" vertical="center"/>
    </xf>
    <xf numFmtId="4" fontId="170" fillId="0" borderId="87" xfId="106" applyNumberFormat="1" applyFont="1" applyFill="1" applyBorder="1"/>
    <xf numFmtId="3" fontId="172" fillId="0" borderId="69" xfId="0" applyNumberFormat="1" applyFont="1" applyFill="1" applyBorder="1" applyAlignment="1" applyProtection="1">
      <alignment horizontal="center"/>
    </xf>
    <xf numFmtId="3" fontId="169" fillId="0" borderId="78" xfId="0" applyNumberFormat="1" applyFont="1" applyFill="1" applyBorder="1" applyAlignment="1" applyProtection="1">
      <alignment horizontal="left"/>
    </xf>
    <xf numFmtId="3" fontId="172" fillId="0" borderId="84" xfId="0" applyNumberFormat="1" applyFont="1" applyFill="1" applyBorder="1" applyAlignment="1" applyProtection="1">
      <alignment horizontal="center"/>
    </xf>
    <xf numFmtId="4" fontId="170" fillId="0" borderId="53" xfId="106" applyNumberFormat="1" applyFont="1" applyBorder="1"/>
    <xf numFmtId="4" fontId="170" fillId="0" borderId="53" xfId="106" applyNumberFormat="1" applyFont="1" applyFill="1" applyBorder="1"/>
    <xf numFmtId="3" fontId="169" fillId="0" borderId="76" xfId="0" applyNumberFormat="1" applyFont="1" applyFill="1" applyBorder="1" applyAlignment="1">
      <alignment horizontal="left"/>
    </xf>
    <xf numFmtId="3" fontId="169" fillId="0" borderId="77" xfId="0" applyNumberFormat="1" applyFont="1" applyFill="1" applyBorder="1" applyAlignment="1" applyProtection="1">
      <alignment horizontal="left"/>
    </xf>
    <xf numFmtId="3" fontId="169" fillId="0" borderId="119" xfId="0" applyNumberFormat="1" applyFont="1" applyFill="1" applyBorder="1" applyAlignment="1" applyProtection="1">
      <alignment horizontal="justify"/>
    </xf>
    <xf numFmtId="4" fontId="170" fillId="0" borderId="119" xfId="106" applyNumberFormat="1" applyFont="1" applyBorder="1"/>
    <xf numFmtId="3" fontId="169" fillId="0" borderId="69" xfId="0" applyNumberFormat="1" applyFont="1" applyFill="1" applyBorder="1" applyAlignment="1" applyProtection="1">
      <alignment horizontal="justify"/>
    </xf>
    <xf numFmtId="3" fontId="170" fillId="0" borderId="81" xfId="106" applyNumberFormat="1" applyFont="1" applyFill="1" applyBorder="1"/>
    <xf numFmtId="4" fontId="170" fillId="0" borderId="81" xfId="106" applyNumberFormat="1" applyFont="1" applyBorder="1"/>
    <xf numFmtId="3" fontId="170" fillId="0" borderId="81" xfId="106" applyNumberFormat="1" applyFont="1" applyBorder="1"/>
    <xf numFmtId="3" fontId="169" fillId="0" borderId="78" xfId="0" applyNumberFormat="1" applyFont="1" applyFill="1" applyBorder="1" applyAlignment="1">
      <alignment horizontal="left"/>
    </xf>
    <xf numFmtId="3" fontId="169" fillId="0" borderId="70" xfId="0" applyNumberFormat="1" applyFont="1" applyFill="1" applyBorder="1" applyAlignment="1" applyProtection="1">
      <alignment horizontal="left"/>
    </xf>
    <xf numFmtId="4" fontId="170" fillId="0" borderId="85" xfId="106" applyNumberFormat="1" applyFont="1" applyBorder="1"/>
    <xf numFmtId="3" fontId="170" fillId="0" borderId="85" xfId="106" applyNumberFormat="1" applyFont="1" applyBorder="1"/>
    <xf numFmtId="3" fontId="170" fillId="0" borderId="85" xfId="106" applyNumberFormat="1" applyFont="1" applyFill="1" applyBorder="1"/>
    <xf numFmtId="3" fontId="169" fillId="0" borderId="77" xfId="0" applyNumberFormat="1" applyFont="1" applyFill="1" applyBorder="1" applyAlignment="1" applyProtection="1"/>
    <xf numFmtId="3" fontId="169" fillId="0" borderId="78" xfId="0" applyNumberFormat="1" applyFont="1" applyFill="1" applyBorder="1" applyAlignment="1" applyProtection="1">
      <alignment horizontal="center" vertical="center"/>
    </xf>
    <xf numFmtId="4" fontId="170" fillId="0" borderId="85" xfId="106" applyNumberFormat="1" applyFont="1" applyFill="1" applyBorder="1"/>
    <xf numFmtId="0" fontId="170" fillId="27" borderId="0" xfId="106" applyFont="1" applyFill="1"/>
    <xf numFmtId="0" fontId="171" fillId="27" borderId="0" xfId="107" applyFont="1" applyFill="1"/>
    <xf numFmtId="3" fontId="169" fillId="0" borderId="79" xfId="0" applyNumberFormat="1" applyFont="1" applyFill="1" applyBorder="1" applyAlignment="1" applyProtection="1">
      <alignment horizontal="justify"/>
    </xf>
    <xf numFmtId="3" fontId="169" fillId="0" borderId="70" xfId="0" applyNumberFormat="1" applyFont="1" applyFill="1" applyBorder="1" applyAlignment="1">
      <alignment horizontal="left"/>
    </xf>
    <xf numFmtId="3" fontId="170" fillId="0" borderId="70" xfId="106" applyNumberFormat="1" applyFont="1" applyBorder="1"/>
    <xf numFmtId="3" fontId="170" fillId="0" borderId="70" xfId="106" applyNumberFormat="1" applyFont="1" applyFill="1" applyBorder="1"/>
    <xf numFmtId="4" fontId="173" fillId="28" borderId="78" xfId="109" applyNumberFormat="1" applyFont="1" applyFill="1" applyBorder="1" applyAlignment="1">
      <alignment horizontal="right"/>
    </xf>
    <xf numFmtId="3" fontId="170" fillId="28" borderId="70" xfId="109" applyNumberFormat="1" applyFont="1" applyFill="1" applyBorder="1" applyAlignment="1">
      <alignment horizontal="right"/>
    </xf>
    <xf numFmtId="3" fontId="170" fillId="0" borderId="70" xfId="109" applyNumberFormat="1" applyFont="1" applyFill="1" applyBorder="1" applyAlignment="1">
      <alignment horizontal="right"/>
    </xf>
    <xf numFmtId="3" fontId="170" fillId="28" borderId="78" xfId="109" applyNumberFormat="1" applyFont="1" applyFill="1" applyBorder="1" applyAlignment="1">
      <alignment horizontal="right"/>
    </xf>
    <xf numFmtId="0" fontId="170" fillId="28" borderId="0" xfId="106" applyFont="1" applyFill="1"/>
    <xf numFmtId="3" fontId="39" fillId="0" borderId="0" xfId="0" applyNumberFormat="1" applyFont="1" applyFill="1" applyBorder="1"/>
    <xf numFmtId="3" fontId="4" fillId="0" borderId="0" xfId="0" quotePrefix="1" applyNumberFormat="1" applyFont="1" applyFill="1" applyBorder="1"/>
    <xf numFmtId="0" fontId="120" fillId="0" borderId="84" xfId="97" applyFont="1" applyBorder="1" applyAlignment="1">
      <alignment horizontal="center" vertical="center"/>
    </xf>
    <xf numFmtId="3" fontId="65" fillId="0" borderId="119" xfId="104" applyNumberFormat="1" applyFont="1" applyBorder="1"/>
    <xf numFmtId="3" fontId="41" fillId="0" borderId="119" xfId="104" applyNumberFormat="1" applyFont="1" applyBorder="1"/>
    <xf numFmtId="3" fontId="41" fillId="0" borderId="69" xfId="104" applyNumberFormat="1" applyFont="1" applyBorder="1"/>
    <xf numFmtId="3" fontId="41" fillId="0" borderId="78" xfId="104" applyNumberFormat="1" applyFont="1" applyBorder="1"/>
    <xf numFmtId="3" fontId="65" fillId="0" borderId="78" xfId="104" applyNumberFormat="1" applyFont="1" applyBorder="1"/>
    <xf numFmtId="3" fontId="65" fillId="0" borderId="87" xfId="104" applyNumberFormat="1" applyFont="1" applyBorder="1"/>
    <xf numFmtId="3" fontId="40" fillId="0" borderId="69" xfId="104" applyNumberFormat="1" applyFont="1" applyBorder="1"/>
    <xf numFmtId="3" fontId="40" fillId="0" borderId="119" xfId="104" applyNumberFormat="1" applyFont="1" applyBorder="1"/>
    <xf numFmtId="3" fontId="40" fillId="0" borderId="79" xfId="104" applyNumberFormat="1" applyFont="1" applyBorder="1"/>
    <xf numFmtId="3" fontId="18" fillId="0" borderId="78" xfId="104" applyNumberFormat="1" applyFont="1" applyBorder="1"/>
    <xf numFmtId="3" fontId="40" fillId="0" borderId="84" xfId="104" applyNumberFormat="1" applyFont="1" applyBorder="1"/>
    <xf numFmtId="0" fontId="67" fillId="0" borderId="0" xfId="104" applyFont="1" applyFill="1"/>
    <xf numFmtId="3" fontId="67" fillId="0" borderId="0" xfId="104" applyNumberFormat="1" applyFont="1" applyFill="1"/>
    <xf numFmtId="0" fontId="4" fillId="0" borderId="0" xfId="104" applyFont="1" applyFill="1"/>
    <xf numFmtId="0" fontId="65" fillId="0" borderId="0" xfId="104" applyFont="1" applyFill="1"/>
    <xf numFmtId="0" fontId="135" fillId="0" borderId="0" xfId="104" applyFont="1" applyFill="1" applyAlignment="1">
      <alignment horizontal="center"/>
    </xf>
    <xf numFmtId="0" fontId="136" fillId="0" borderId="0" xfId="104" applyFont="1" applyFill="1" applyAlignment="1">
      <alignment horizontal="center"/>
    </xf>
    <xf numFmtId="3" fontId="4" fillId="0" borderId="0" xfId="104" applyNumberFormat="1" applyFont="1" applyFill="1"/>
    <xf numFmtId="0" fontId="21" fillId="0" borderId="0" xfId="104" applyFont="1" applyFill="1"/>
    <xf numFmtId="0" fontId="4" fillId="0" borderId="0" xfId="104" applyFont="1" applyFill="1" applyBorder="1"/>
    <xf numFmtId="3" fontId="41" fillId="0" borderId="119" xfId="104" applyNumberFormat="1" applyFont="1" applyBorder="1" applyAlignment="1">
      <alignment horizontal="center"/>
    </xf>
    <xf numFmtId="3" fontId="41" fillId="0" borderId="79" xfId="104" applyNumberFormat="1" applyFont="1" applyBorder="1" applyAlignment="1">
      <alignment horizontal="center"/>
    </xf>
    <xf numFmtId="3" fontId="41" fillId="0" borderId="78" xfId="104" applyNumberFormat="1" applyFont="1" applyBorder="1" applyAlignment="1">
      <alignment horizontal="center"/>
    </xf>
    <xf numFmtId="3" fontId="18" fillId="0" borderId="69" xfId="104" applyNumberFormat="1" applyFont="1" applyBorder="1" applyAlignment="1">
      <alignment horizontal="center"/>
    </xf>
    <xf numFmtId="3" fontId="18" fillId="0" borderId="79" xfId="104" applyNumberFormat="1" applyFont="1" applyBorder="1" applyAlignment="1">
      <alignment horizontal="center"/>
    </xf>
    <xf numFmtId="3" fontId="18" fillId="0" borderId="91" xfId="104" applyNumberFormat="1" applyFont="1" applyBorder="1" applyAlignment="1">
      <alignment horizontal="center"/>
    </xf>
    <xf numFmtId="3" fontId="18" fillId="0" borderId="78" xfId="104" applyNumberFormat="1" applyFont="1" applyBorder="1" applyAlignment="1">
      <alignment horizontal="center"/>
    </xf>
    <xf numFmtId="3" fontId="18" fillId="0" borderId="133" xfId="104" applyNumberFormat="1" applyFont="1" applyBorder="1" applyAlignment="1">
      <alignment horizontal="center"/>
    </xf>
    <xf numFmtId="3" fontId="18" fillId="0" borderId="119" xfId="104" applyNumberFormat="1" applyFont="1" applyBorder="1" applyAlignment="1">
      <alignment horizontal="center"/>
    </xf>
    <xf numFmtId="2" fontId="67" fillId="0" borderId="71" xfId="0" applyNumberFormat="1" applyFont="1" applyFill="1" applyBorder="1"/>
    <xf numFmtId="3" fontId="63" fillId="0" borderId="0" xfId="0" applyNumberFormat="1" applyFont="1" applyFill="1" applyBorder="1" applyAlignment="1" applyProtection="1">
      <alignment horizontal="right"/>
    </xf>
    <xf numFmtId="0" fontId="67" fillId="0" borderId="40" xfId="0" applyFont="1" applyFill="1" applyBorder="1"/>
    <xf numFmtId="3" fontId="63" fillId="0" borderId="37" xfId="0" applyNumberFormat="1" applyFont="1" applyFill="1" applyBorder="1"/>
    <xf numFmtId="3" fontId="140" fillId="0" borderId="37" xfId="0" applyNumberFormat="1" applyFont="1" applyFill="1" applyBorder="1" applyAlignment="1" applyProtection="1">
      <alignment horizontal="left"/>
    </xf>
    <xf numFmtId="3" fontId="67" fillId="0" borderId="37" xfId="0" applyNumberFormat="1" applyFont="1" applyFill="1" applyBorder="1" applyAlignment="1" applyProtection="1">
      <alignment horizontal="left"/>
    </xf>
    <xf numFmtId="0" fontId="63" fillId="0" borderId="20" xfId="0" applyFont="1" applyFill="1" applyBorder="1"/>
    <xf numFmtId="3" fontId="63" fillId="0" borderId="96" xfId="0" applyNumberFormat="1" applyFont="1" applyFill="1" applyBorder="1"/>
    <xf numFmtId="3" fontId="63" fillId="0" borderId="16" xfId="0" applyNumberFormat="1" applyFont="1" applyFill="1" applyBorder="1" applyAlignment="1">
      <alignment horizontal="centerContinuous"/>
    </xf>
    <xf numFmtId="3" fontId="63" fillId="0" borderId="46" xfId="0" applyNumberFormat="1" applyFont="1" applyFill="1" applyBorder="1" applyAlignment="1">
      <alignment horizontal="left"/>
    </xf>
    <xf numFmtId="0" fontId="63" fillId="0" borderId="19" xfId="0" applyFont="1" applyFill="1" applyBorder="1" applyAlignment="1" applyProtection="1">
      <alignment horizontal="left"/>
    </xf>
    <xf numFmtId="3" fontId="63" fillId="0" borderId="16" xfId="0" applyNumberFormat="1" applyFont="1" applyFill="1" applyBorder="1" applyAlignment="1">
      <alignment horizontal="left"/>
    </xf>
    <xf numFmtId="0" fontId="67" fillId="0" borderId="18" xfId="0" applyFont="1" applyFill="1" applyBorder="1" applyAlignment="1" applyProtection="1"/>
    <xf numFmtId="3" fontId="140" fillId="0" borderId="0" xfId="0" applyNumberFormat="1" applyFont="1" applyFill="1" applyBorder="1"/>
    <xf numFmtId="0" fontId="67" fillId="0" borderId="40" xfId="0" applyFont="1" applyFill="1" applyBorder="1" applyAlignment="1" applyProtection="1"/>
    <xf numFmtId="3" fontId="67" fillId="0" borderId="0" xfId="0" applyNumberFormat="1" applyFont="1" applyFill="1" applyBorder="1"/>
    <xf numFmtId="3" fontId="63" fillId="0" borderId="18" xfId="0" applyNumberFormat="1" applyFont="1" applyFill="1" applyBorder="1"/>
    <xf numFmtId="0" fontId="63" fillId="0" borderId="18" xfId="0" applyFont="1" applyFill="1" applyBorder="1"/>
    <xf numFmtId="3" fontId="63" fillId="0" borderId="16" xfId="0" applyNumberFormat="1" applyFont="1" applyFill="1" applyBorder="1" applyAlignment="1">
      <alignment horizontal="center"/>
    </xf>
    <xf numFmtId="0" fontId="63" fillId="0" borderId="18" xfId="0" applyFont="1" applyFill="1" applyBorder="1" applyAlignment="1" applyProtection="1">
      <alignment horizontal="left"/>
    </xf>
    <xf numFmtId="3" fontId="63" fillId="0" borderId="0" xfId="0" applyNumberFormat="1" applyFont="1" applyFill="1" applyBorder="1" applyAlignment="1">
      <alignment horizontal="left"/>
    </xf>
    <xf numFmtId="3" fontId="63" fillId="0" borderId="19" xfId="0" applyNumberFormat="1" applyFont="1" applyFill="1" applyBorder="1" applyAlignment="1">
      <alignment horizontal="centerContinuous"/>
    </xf>
    <xf numFmtId="3" fontId="67" fillId="0" borderId="18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centerContinuous"/>
    </xf>
    <xf numFmtId="3" fontId="67" fillId="0" borderId="40" xfId="0" applyNumberFormat="1" applyFont="1" applyFill="1" applyBorder="1" applyAlignment="1">
      <alignment horizontal="left"/>
    </xf>
    <xf numFmtId="3" fontId="67" fillId="0" borderId="37" xfId="0" applyNumberFormat="1" applyFont="1" applyFill="1" applyBorder="1" applyAlignment="1">
      <alignment horizontal="centerContinuous"/>
    </xf>
    <xf numFmtId="0" fontId="67" fillId="0" borderId="40" xfId="0" applyFont="1" applyFill="1" applyBorder="1" applyAlignment="1">
      <alignment horizontal="left"/>
    </xf>
    <xf numFmtId="3" fontId="67" fillId="0" borderId="37" xfId="0" applyNumberFormat="1" applyFont="1" applyFill="1" applyBorder="1" applyAlignment="1">
      <alignment horizontal="right"/>
    </xf>
    <xf numFmtId="3" fontId="67" fillId="0" borderId="18" xfId="0" applyNumberFormat="1" applyFont="1" applyFill="1" applyBorder="1" applyAlignment="1">
      <alignment horizontal="centerContinuous"/>
    </xf>
    <xf numFmtId="3" fontId="63" fillId="0" borderId="18" xfId="0" applyNumberFormat="1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7" fillId="0" borderId="0" xfId="78" applyFont="1" applyFill="1" applyBorder="1"/>
    <xf numFmtId="3" fontId="63" fillId="0" borderId="18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center"/>
    </xf>
    <xf numFmtId="3" fontId="67" fillId="0" borderId="18" xfId="0" applyNumberFormat="1" applyFont="1" applyFill="1" applyBorder="1"/>
    <xf numFmtId="3" fontId="63" fillId="0" borderId="20" xfId="0" applyNumberFormat="1" applyFont="1" applyFill="1" applyBorder="1" applyAlignment="1"/>
    <xf numFmtId="3" fontId="63" fillId="0" borderId="96" xfId="0" applyNumberFormat="1" applyFont="1" applyFill="1" applyBorder="1" applyAlignment="1"/>
    <xf numFmtId="3" fontId="63" fillId="0" borderId="0" xfId="0" applyNumberFormat="1" applyFont="1" applyFill="1" applyBorder="1" applyAlignment="1"/>
    <xf numFmtId="3" fontId="63" fillId="0" borderId="46" xfId="0" applyNumberFormat="1" applyFont="1" applyFill="1" applyBorder="1" applyAlignment="1"/>
    <xf numFmtId="3" fontId="63" fillId="0" borderId="25" xfId="0" applyNumberFormat="1" applyFont="1" applyFill="1" applyBorder="1" applyAlignment="1"/>
    <xf numFmtId="3" fontId="63" fillId="0" borderId="45" xfId="0" applyNumberFormat="1" applyFont="1" applyFill="1" applyBorder="1" applyAlignment="1"/>
    <xf numFmtId="3" fontId="63" fillId="0" borderId="47" xfId="0" applyNumberFormat="1" applyFont="1" applyFill="1" applyBorder="1" applyAlignment="1"/>
    <xf numFmtId="3" fontId="63" fillId="0" borderId="18" xfId="0" applyNumberFormat="1" applyFont="1" applyFill="1" applyBorder="1" applyAlignment="1"/>
    <xf numFmtId="0" fontId="67" fillId="0" borderId="37" xfId="78" applyFont="1" applyFill="1" applyBorder="1" applyAlignment="1">
      <alignment horizontal="justify" wrapText="1"/>
    </xf>
    <xf numFmtId="0" fontId="67" fillId="0" borderId="0" xfId="78" applyFont="1" applyFill="1" applyBorder="1" applyAlignment="1">
      <alignment horizontal="justify"/>
    </xf>
    <xf numFmtId="3" fontId="63" fillId="0" borderId="19" xfId="0" applyNumberFormat="1" applyFont="1" applyFill="1" applyBorder="1"/>
    <xf numFmtId="3" fontId="67" fillId="0" borderId="16" xfId="0" applyNumberFormat="1" applyFont="1" applyFill="1" applyBorder="1"/>
    <xf numFmtId="0" fontId="140" fillId="0" borderId="0" xfId="0" applyFont="1" applyFill="1" applyBorder="1" applyProtection="1"/>
    <xf numFmtId="3" fontId="63" fillId="0" borderId="0" xfId="0" applyNumberFormat="1" applyFont="1" applyFill="1" applyBorder="1" applyAlignment="1">
      <alignment horizontal="center"/>
    </xf>
    <xf numFmtId="3" fontId="70" fillId="0" borderId="0" xfId="0" applyNumberFormat="1" applyFont="1" applyFill="1" applyBorder="1"/>
    <xf numFmtId="3" fontId="63" fillId="0" borderId="23" xfId="0" applyNumberFormat="1" applyFont="1" applyFill="1" applyBorder="1" applyAlignment="1">
      <alignment horizontal="left"/>
    </xf>
    <xf numFmtId="3" fontId="67" fillId="0" borderId="46" xfId="0" applyNumberFormat="1" applyFont="1" applyFill="1" applyBorder="1"/>
    <xf numFmtId="3" fontId="63" fillId="0" borderId="19" xfId="0" applyNumberFormat="1" applyFont="1" applyFill="1" applyBorder="1" applyAlignment="1">
      <alignment horizontal="left"/>
    </xf>
    <xf numFmtId="3" fontId="63" fillId="0" borderId="16" xfId="0" applyNumberFormat="1" applyFont="1" applyFill="1" applyBorder="1" applyAlignment="1" applyProtection="1">
      <alignment horizontal="right"/>
    </xf>
    <xf numFmtId="3" fontId="63" fillId="0" borderId="37" xfId="0" applyNumberFormat="1" applyFont="1" applyFill="1" applyBorder="1" applyAlignment="1" applyProtection="1">
      <alignment horizontal="right"/>
    </xf>
    <xf numFmtId="3" fontId="63" fillId="0" borderId="96" xfId="0" applyNumberFormat="1" applyFont="1" applyFill="1" applyBorder="1" applyAlignment="1" applyProtection="1">
      <alignment horizontal="right"/>
    </xf>
    <xf numFmtId="3" fontId="67" fillId="0" borderId="0" xfId="0" applyNumberFormat="1" applyFont="1" applyFill="1" applyBorder="1" applyAlignment="1" applyProtection="1">
      <alignment horizontal="left"/>
    </xf>
    <xf numFmtId="0" fontId="63" fillId="0" borderId="49" xfId="0" applyFont="1" applyFill="1" applyBorder="1"/>
    <xf numFmtId="3" fontId="63" fillId="0" borderId="24" xfId="0" applyNumberFormat="1" applyFont="1" applyFill="1" applyBorder="1" applyAlignment="1" applyProtection="1">
      <alignment horizontal="right"/>
    </xf>
    <xf numFmtId="3" fontId="63" fillId="0" borderId="96" xfId="0" applyNumberFormat="1" applyFont="1" applyFill="1" applyBorder="1" applyAlignment="1">
      <alignment horizontal="left"/>
    </xf>
    <xf numFmtId="3" fontId="63" fillId="0" borderId="47" xfId="0" applyNumberFormat="1" applyFont="1" applyFill="1" applyBorder="1" applyAlignment="1">
      <alignment horizontal="left"/>
    </xf>
    <xf numFmtId="3" fontId="63" fillId="0" borderId="37" xfId="0" applyNumberFormat="1" applyFont="1" applyFill="1" applyBorder="1" applyAlignment="1">
      <alignment horizontal="left"/>
    </xf>
    <xf numFmtId="3" fontId="63" fillId="0" borderId="96" xfId="0" applyNumberFormat="1" applyFont="1" applyFill="1" applyBorder="1" applyAlignment="1">
      <alignment horizontal="centerContinuous"/>
    </xf>
    <xf numFmtId="0" fontId="67" fillId="0" borderId="19" xfId="0" applyFont="1" applyFill="1" applyBorder="1" applyAlignment="1" applyProtection="1">
      <alignment horizontal="left"/>
    </xf>
    <xf numFmtId="0" fontId="63" fillId="28" borderId="45" xfId="0" applyFont="1" applyFill="1" applyBorder="1" applyAlignment="1">
      <alignment horizontal="center"/>
    </xf>
    <xf numFmtId="0" fontId="63" fillId="28" borderId="53" xfId="0" applyFont="1" applyFill="1" applyBorder="1" applyAlignment="1">
      <alignment horizontal="center"/>
    </xf>
    <xf numFmtId="0" fontId="63" fillId="0" borderId="55" xfId="0" applyFont="1" applyBorder="1" applyAlignment="1">
      <alignment horizontal="center"/>
    </xf>
    <xf numFmtId="0" fontId="63" fillId="28" borderId="15" xfId="0" applyFont="1" applyFill="1" applyBorder="1" applyAlignment="1">
      <alignment horizontal="center"/>
    </xf>
    <xf numFmtId="0" fontId="63" fillId="28" borderId="87" xfId="0" applyFont="1" applyFill="1" applyBorder="1" applyAlignment="1">
      <alignment horizontal="center"/>
    </xf>
    <xf numFmtId="0" fontId="68" fillId="0" borderId="61" xfId="0" applyFont="1" applyFill="1" applyBorder="1" applyAlignment="1">
      <alignment horizontal="center"/>
    </xf>
    <xf numFmtId="0" fontId="68" fillId="0" borderId="85" xfId="0" applyFont="1" applyFill="1" applyBorder="1" applyAlignment="1">
      <alignment horizontal="center"/>
    </xf>
    <xf numFmtId="0" fontId="63" fillId="0" borderId="43" xfId="0" applyFont="1" applyBorder="1" applyAlignment="1">
      <alignment horizontal="center"/>
    </xf>
    <xf numFmtId="0" fontId="63" fillId="28" borderId="61" xfId="0" applyFont="1" applyFill="1" applyBorder="1" applyAlignment="1">
      <alignment horizontal="center"/>
    </xf>
    <xf numFmtId="0" fontId="63" fillId="28" borderId="85" xfId="0" applyFont="1" applyFill="1" applyBorder="1" applyAlignment="1">
      <alignment horizontal="center"/>
    </xf>
    <xf numFmtId="4" fontId="63" fillId="28" borderId="27" xfId="0" applyNumberFormat="1" applyFont="1" applyFill="1" applyBorder="1" applyAlignment="1">
      <alignment horizontal="center"/>
    </xf>
    <xf numFmtId="4" fontId="63" fillId="28" borderId="59" xfId="0" applyNumberFormat="1" applyFont="1" applyFill="1" applyBorder="1" applyAlignment="1">
      <alignment horizontal="center"/>
    </xf>
    <xf numFmtId="4" fontId="68" fillId="0" borderId="85" xfId="0" applyNumberFormat="1" applyFont="1" applyFill="1" applyBorder="1" applyAlignment="1">
      <alignment horizontal="center"/>
    </xf>
    <xf numFmtId="0" fontId="63" fillId="0" borderId="0" xfId="0" applyFont="1" applyFill="1" applyBorder="1" applyProtection="1"/>
    <xf numFmtId="3" fontId="18" fillId="0" borderId="15" xfId="0" applyNumberFormat="1" applyFont="1" applyFill="1" applyBorder="1"/>
    <xf numFmtId="3" fontId="18" fillId="0" borderId="87" xfId="0" applyNumberFormat="1" applyFont="1" applyFill="1" applyBorder="1"/>
    <xf numFmtId="3" fontId="63" fillId="0" borderId="20" xfId="0" applyNumberFormat="1" applyFont="1" applyFill="1" applyBorder="1" applyAlignment="1">
      <alignment horizontal="left"/>
    </xf>
    <xf numFmtId="3" fontId="63" fillId="0" borderId="106" xfId="0" applyNumberFormat="1" applyFont="1" applyFill="1" applyBorder="1" applyAlignment="1">
      <alignment horizontal="center"/>
    </xf>
    <xf numFmtId="3" fontId="63" fillId="0" borderId="106" xfId="0" applyNumberFormat="1" applyFont="1" applyFill="1" applyBorder="1"/>
    <xf numFmtId="3" fontId="174" fillId="0" borderId="16" xfId="0" applyNumberFormat="1" applyFont="1" applyBorder="1" applyAlignment="1">
      <alignment horizontal="left"/>
    </xf>
    <xf numFmtId="0" fontId="175" fillId="0" borderId="0" xfId="0" applyFont="1" applyFill="1" applyBorder="1" applyAlignment="1">
      <alignment horizontal="right"/>
    </xf>
    <xf numFmtId="0" fontId="176" fillId="0" borderId="25" xfId="0" applyFont="1" applyFill="1" applyBorder="1" applyAlignment="1">
      <alignment horizontal="center"/>
    </xf>
    <xf numFmtId="0" fontId="176" fillId="28" borderId="45" xfId="0" applyFont="1" applyFill="1" applyBorder="1" applyAlignment="1">
      <alignment horizontal="center"/>
    </xf>
    <xf numFmtId="0" fontId="176" fillId="0" borderId="27" xfId="0" applyFont="1" applyBorder="1" applyAlignment="1">
      <alignment horizontal="center"/>
    </xf>
    <xf numFmtId="0" fontId="176" fillId="0" borderId="97" xfId="0" applyFont="1" applyFill="1" applyBorder="1" applyAlignment="1">
      <alignment horizontal="center"/>
    </xf>
    <xf numFmtId="0" fontId="176" fillId="0" borderId="43" xfId="0" applyFont="1" applyBorder="1" applyAlignment="1">
      <alignment horizontal="center"/>
    </xf>
    <xf numFmtId="0" fontId="176" fillId="28" borderId="61" xfId="0" applyFont="1" applyFill="1" applyBorder="1" applyAlignment="1">
      <alignment horizontal="center"/>
    </xf>
    <xf numFmtId="0" fontId="176" fillId="0" borderId="28" xfId="0" applyFont="1" applyBorder="1" applyAlignment="1">
      <alignment horizontal="center"/>
    </xf>
    <xf numFmtId="0" fontId="175" fillId="29" borderId="38" xfId="0" applyFont="1" applyFill="1" applyBorder="1"/>
    <xf numFmtId="3" fontId="175" fillId="29" borderId="114" xfId="0" applyNumberFormat="1" applyFont="1" applyFill="1" applyBorder="1"/>
    <xf numFmtId="3" fontId="175" fillId="29" borderId="51" xfId="0" applyNumberFormat="1" applyFont="1" applyFill="1" applyBorder="1"/>
    <xf numFmtId="2" fontId="175" fillId="29" borderId="67" xfId="0" applyNumberFormat="1" applyFont="1" applyFill="1" applyBorder="1"/>
    <xf numFmtId="0" fontId="175" fillId="29" borderId="40" xfId="0" applyFont="1" applyFill="1" applyBorder="1"/>
    <xf numFmtId="3" fontId="175" fillId="29" borderId="34" xfId="0" applyNumberFormat="1" applyFont="1" applyFill="1" applyBorder="1"/>
    <xf numFmtId="3" fontId="175" fillId="29" borderId="36" xfId="0" applyNumberFormat="1" applyFont="1" applyFill="1" applyBorder="1"/>
    <xf numFmtId="0" fontId="175" fillId="0" borderId="41" xfId="0" applyFont="1" applyFill="1" applyBorder="1"/>
    <xf numFmtId="3" fontId="175" fillId="0" borderId="35" xfId="0" applyNumberFormat="1" applyFont="1" applyFill="1" applyBorder="1"/>
    <xf numFmtId="3" fontId="175" fillId="0" borderId="64" xfId="0" applyNumberFormat="1" applyFont="1" applyFill="1" applyBorder="1"/>
    <xf numFmtId="2" fontId="175" fillId="0" borderId="67" xfId="0" applyNumberFormat="1" applyFont="1" applyFill="1" applyBorder="1"/>
    <xf numFmtId="0" fontId="176" fillId="0" borderId="17" xfId="0" applyFont="1" applyFill="1" applyBorder="1"/>
    <xf numFmtId="3" fontId="176" fillId="0" borderId="44" xfId="0" applyNumberFormat="1" applyFont="1" applyFill="1" applyBorder="1"/>
    <xf numFmtId="2" fontId="176" fillId="0" borderId="54" xfId="0" applyNumberFormat="1" applyFont="1" applyFill="1" applyBorder="1"/>
    <xf numFmtId="0" fontId="175" fillId="29" borderId="99" xfId="0" applyFont="1" applyFill="1" applyBorder="1" applyAlignment="1">
      <alignment horizontal="left"/>
    </xf>
    <xf numFmtId="3" fontId="175" fillId="29" borderId="121" xfId="0" applyNumberFormat="1" applyFont="1" applyFill="1" applyBorder="1"/>
    <xf numFmtId="3" fontId="175" fillId="29" borderId="122" xfId="0" applyNumberFormat="1" applyFont="1" applyFill="1" applyBorder="1"/>
    <xf numFmtId="2" fontId="175" fillId="29" borderId="105" xfId="0" applyNumberFormat="1" applyFont="1" applyFill="1" applyBorder="1"/>
    <xf numFmtId="0" fontId="175" fillId="29" borderId="109" xfId="0" applyFont="1" applyFill="1" applyBorder="1" applyAlignment="1">
      <alignment horizontal="left" wrapText="1"/>
    </xf>
    <xf numFmtId="3" fontId="175" fillId="29" borderId="50" xfId="0" applyNumberFormat="1" applyFont="1" applyFill="1" applyBorder="1"/>
    <xf numFmtId="0" fontId="175" fillId="29" borderId="40" xfId="0" applyFont="1" applyFill="1" applyBorder="1" applyAlignment="1">
      <alignment wrapText="1"/>
    </xf>
    <xf numFmtId="0" fontId="175" fillId="0" borderId="42" xfId="0" applyFont="1" applyFill="1" applyBorder="1" applyAlignment="1">
      <alignment horizontal="left"/>
    </xf>
    <xf numFmtId="3" fontId="175" fillId="0" borderId="36" xfId="0" applyNumberFormat="1" applyFont="1" applyFill="1" applyBorder="1"/>
    <xf numFmtId="3" fontId="175" fillId="0" borderId="37" xfId="0" applyNumberFormat="1" applyFont="1" applyFill="1" applyBorder="1"/>
    <xf numFmtId="3" fontId="175" fillId="0" borderId="34" xfId="0" applyNumberFormat="1" applyFont="1" applyFill="1" applyBorder="1"/>
    <xf numFmtId="0" fontId="175" fillId="0" borderId="42" xfId="0" applyFont="1" applyFill="1" applyBorder="1" applyAlignment="1">
      <alignment horizontal="left" wrapText="1"/>
    </xf>
    <xf numFmtId="0" fontId="175" fillId="0" borderId="42" xfId="0" applyFont="1" applyFill="1" applyBorder="1"/>
    <xf numFmtId="0" fontId="175" fillId="0" borderId="40" xfId="0" applyFont="1" applyFill="1" applyBorder="1"/>
    <xf numFmtId="0" fontId="175" fillId="0" borderId="40" xfId="0" applyFont="1" applyFill="1" applyBorder="1" applyAlignment="1">
      <alignment horizontal="justify"/>
    </xf>
    <xf numFmtId="3" fontId="175" fillId="0" borderId="65" xfId="0" applyNumberFormat="1" applyFont="1" applyFill="1" applyBorder="1"/>
    <xf numFmtId="0" fontId="175" fillId="0" borderId="62" xfId="0" applyFont="1" applyFill="1" applyBorder="1"/>
    <xf numFmtId="0" fontId="175" fillId="0" borderId="62" xfId="0" applyFont="1" applyFill="1" applyBorder="1" applyAlignment="1">
      <alignment horizontal="left" wrapText="1"/>
    </xf>
    <xf numFmtId="0" fontId="177" fillId="0" borderId="18" xfId="0" applyFont="1" applyFill="1" applyBorder="1" applyAlignment="1">
      <alignment horizontal="justify"/>
    </xf>
    <xf numFmtId="0" fontId="177" fillId="0" borderId="40" xfId="0" applyFont="1" applyFill="1" applyBorder="1" applyAlignment="1">
      <alignment horizontal="justify"/>
    </xf>
    <xf numFmtId="2" fontId="175" fillId="0" borderId="68" xfId="0" applyNumberFormat="1" applyFont="1" applyFill="1" applyBorder="1"/>
    <xf numFmtId="0" fontId="175" fillId="0" borderId="18" xfId="0" applyFont="1" applyFill="1" applyBorder="1" applyAlignment="1">
      <alignment horizontal="left" wrapText="1"/>
    </xf>
    <xf numFmtId="3" fontId="175" fillId="0" borderId="29" xfId="0" applyNumberFormat="1" applyFont="1" applyFill="1" applyBorder="1"/>
    <xf numFmtId="0" fontId="176" fillId="0" borderId="17" xfId="0" applyFont="1" applyFill="1" applyBorder="1" applyAlignment="1">
      <alignment wrapText="1"/>
    </xf>
    <xf numFmtId="2" fontId="178" fillId="0" borderId="56" xfId="0" applyNumberFormat="1" applyFont="1" applyFill="1" applyBorder="1"/>
    <xf numFmtId="0" fontId="176" fillId="0" borderId="19" xfId="0" applyFont="1" applyFill="1" applyBorder="1"/>
    <xf numFmtId="3" fontId="176" fillId="0" borderId="21" xfId="0" applyNumberFormat="1" applyFont="1" applyFill="1" applyBorder="1"/>
    <xf numFmtId="2" fontId="178" fillId="0" borderId="60" xfId="0" applyNumberFormat="1" applyFont="1" applyFill="1" applyBorder="1"/>
    <xf numFmtId="0" fontId="176" fillId="0" borderId="23" xfId="0" applyFont="1" applyFill="1" applyBorder="1" applyAlignment="1">
      <alignment horizontal="center"/>
    </xf>
    <xf numFmtId="0" fontId="176" fillId="28" borderId="27" xfId="0" applyFont="1" applyFill="1" applyBorder="1" applyAlignment="1">
      <alignment horizontal="center"/>
    </xf>
    <xf numFmtId="0" fontId="176" fillId="0" borderId="19" xfId="0" applyFont="1" applyFill="1" applyBorder="1" applyAlignment="1">
      <alignment horizontal="center"/>
    </xf>
    <xf numFmtId="0" fontId="176" fillId="28" borderId="28" xfId="0" applyFont="1" applyFill="1" applyBorder="1" applyAlignment="1">
      <alignment horizontal="center"/>
    </xf>
    <xf numFmtId="0" fontId="175" fillId="29" borderId="112" xfId="0" applyFont="1" applyFill="1" applyBorder="1"/>
    <xf numFmtId="3" fontId="175" fillId="29" borderId="52" xfId="0" applyNumberFormat="1" applyFont="1" applyFill="1" applyBorder="1"/>
    <xf numFmtId="3" fontId="175" fillId="29" borderId="45" xfId="0" applyNumberFormat="1" applyFont="1" applyFill="1" applyBorder="1" applyAlignment="1">
      <alignment horizontal="right"/>
    </xf>
    <xf numFmtId="4" fontId="175" fillId="29" borderId="27" xfId="0" applyNumberFormat="1" applyFont="1" applyFill="1" applyBorder="1" applyAlignment="1">
      <alignment horizontal="right"/>
    </xf>
    <xf numFmtId="3" fontId="175" fillId="29" borderId="104" xfId="0" applyNumberFormat="1" applyFont="1" applyFill="1" applyBorder="1"/>
    <xf numFmtId="3" fontId="175" fillId="29" borderId="64" xfId="0" applyNumberFormat="1" applyFont="1" applyFill="1" applyBorder="1"/>
    <xf numFmtId="4" fontId="175" fillId="29" borderId="113" xfId="0" applyNumberFormat="1" applyFont="1" applyFill="1" applyBorder="1" applyAlignment="1">
      <alignment horizontal="right"/>
    </xf>
    <xf numFmtId="3" fontId="176" fillId="0" borderId="43" xfId="0" applyNumberFormat="1" applyFont="1" applyFill="1" applyBorder="1"/>
    <xf numFmtId="4" fontId="176" fillId="0" borderId="81" xfId="0" applyNumberFormat="1" applyFont="1" applyFill="1" applyBorder="1"/>
    <xf numFmtId="0" fontId="176" fillId="0" borderId="0" xfId="0" applyFont="1" applyFill="1" applyBorder="1"/>
    <xf numFmtId="3" fontId="176" fillId="0" borderId="0" xfId="0" applyNumberFormat="1" applyFont="1" applyFill="1" applyBorder="1"/>
    <xf numFmtId="0" fontId="176" fillId="0" borderId="0" xfId="0" applyFont="1" applyFill="1"/>
    <xf numFmtId="4" fontId="176" fillId="0" borderId="0" xfId="0" applyNumberFormat="1" applyFont="1" applyFill="1"/>
    <xf numFmtId="0" fontId="176" fillId="0" borderId="20" xfId="0" applyFont="1" applyFill="1" applyBorder="1"/>
    <xf numFmtId="3" fontId="176" fillId="0" borderId="60" xfId="0" applyNumberFormat="1" applyFont="1" applyFill="1" applyBorder="1"/>
    <xf numFmtId="4" fontId="176" fillId="0" borderId="60" xfId="0" applyNumberFormat="1" applyFont="1" applyFill="1" applyBorder="1"/>
    <xf numFmtId="0" fontId="119" fillId="0" borderId="0" xfId="97" applyFont="1" applyFill="1" applyAlignment="1">
      <alignment horizontal="left"/>
    </xf>
    <xf numFmtId="3" fontId="181" fillId="0" borderId="119" xfId="98" applyNumberFormat="1" applyFont="1" applyFill="1" applyBorder="1" applyAlignment="1">
      <alignment horizontal="right"/>
    </xf>
    <xf numFmtId="3" fontId="181" fillId="0" borderId="79" xfId="98" applyNumberFormat="1" applyFont="1" applyFill="1" applyBorder="1" applyAlignment="1">
      <alignment horizontal="right"/>
    </xf>
    <xf numFmtId="3" fontId="181" fillId="0" borderId="19" xfId="98" applyNumberFormat="1" applyFont="1" applyFill="1" applyBorder="1" applyAlignment="1">
      <alignment horizontal="left"/>
    </xf>
    <xf numFmtId="3" fontId="181" fillId="0" borderId="70" xfId="98" applyNumberFormat="1" applyFont="1" applyFill="1" applyBorder="1" applyAlignment="1">
      <alignment horizontal="right"/>
    </xf>
    <xf numFmtId="3" fontId="181" fillId="0" borderId="133" xfId="98" applyNumberFormat="1" applyFont="1" applyFill="1" applyBorder="1" applyAlignment="1">
      <alignment horizontal="right"/>
    </xf>
    <xf numFmtId="3" fontId="181" fillId="0" borderId="23" xfId="98" applyNumberFormat="1" applyFont="1" applyFill="1" applyBorder="1" applyAlignment="1">
      <alignment horizontal="left"/>
    </xf>
    <xf numFmtId="3" fontId="181" fillId="0" borderId="84" xfId="98" applyNumberFormat="1" applyFont="1" applyFill="1" applyBorder="1" applyAlignment="1">
      <alignment horizontal="right"/>
    </xf>
    <xf numFmtId="3" fontId="181" fillId="0" borderId="18" xfId="98" applyNumberFormat="1" applyFont="1" applyFill="1" applyBorder="1" applyAlignment="1">
      <alignment horizontal="left"/>
    </xf>
    <xf numFmtId="3" fontId="181" fillId="0" borderId="77" xfId="98" applyNumberFormat="1" applyFont="1" applyFill="1" applyBorder="1" applyAlignment="1">
      <alignment horizontal="right"/>
    </xf>
    <xf numFmtId="3" fontId="181" fillId="0" borderId="91" xfId="98" applyNumberFormat="1" applyFont="1" applyFill="1" applyBorder="1" applyAlignment="1">
      <alignment horizontal="right"/>
    </xf>
    <xf numFmtId="3" fontId="182" fillId="0" borderId="70" xfId="98" applyNumberFormat="1" applyFont="1" applyFill="1" applyBorder="1" applyAlignment="1">
      <alignment horizontal="right"/>
    </xf>
    <xf numFmtId="0" fontId="183" fillId="0" borderId="0" xfId="99" applyFont="1" applyBorder="1"/>
    <xf numFmtId="3" fontId="181" fillId="0" borderId="134" xfId="98" applyNumberFormat="1" applyFont="1" applyFill="1" applyBorder="1" applyAlignment="1">
      <alignment horizontal="left"/>
    </xf>
    <xf numFmtId="3" fontId="130" fillId="0" borderId="70" xfId="97" applyNumberFormat="1" applyFont="1" applyFill="1" applyBorder="1" applyAlignment="1">
      <alignment horizontal="left"/>
    </xf>
    <xf numFmtId="3" fontId="130" fillId="0" borderId="77" xfId="97" applyNumberFormat="1" applyFont="1" applyFill="1" applyBorder="1" applyAlignment="1">
      <alignment horizontal="left"/>
    </xf>
    <xf numFmtId="0" fontId="131" fillId="0" borderId="84" xfId="97" applyFont="1" applyFill="1" applyBorder="1" applyAlignment="1" applyProtection="1">
      <alignment horizontal="center" vertical="center"/>
    </xf>
    <xf numFmtId="0" fontId="130" fillId="0" borderId="69" xfId="97" applyFont="1" applyFill="1" applyBorder="1" applyProtection="1"/>
    <xf numFmtId="0" fontId="181" fillId="0" borderId="69" xfId="97" applyFont="1" applyFill="1" applyBorder="1" applyAlignment="1" applyProtection="1">
      <alignment horizontal="left" vertical="top"/>
    </xf>
    <xf numFmtId="3" fontId="181" fillId="0" borderId="20" xfId="98" applyNumberFormat="1" applyFont="1" applyFill="1" applyBorder="1" applyAlignment="1">
      <alignment horizontal="left"/>
    </xf>
    <xf numFmtId="3" fontId="181" fillId="0" borderId="78" xfId="98" applyNumberFormat="1" applyFont="1" applyFill="1" applyBorder="1" applyAlignment="1">
      <alignment horizontal="right"/>
    </xf>
    <xf numFmtId="3" fontId="181" fillId="0" borderId="23" xfId="98" applyNumberFormat="1" applyFont="1" applyFill="1" applyBorder="1" applyAlignment="1">
      <alignment horizontal="left" vertical="top"/>
    </xf>
    <xf numFmtId="3" fontId="181" fillId="0" borderId="133" xfId="98" applyNumberFormat="1" applyFont="1" applyFill="1" applyBorder="1" applyAlignment="1">
      <alignment horizontal="left"/>
    </xf>
    <xf numFmtId="3" fontId="181" fillId="0" borderId="18" xfId="98" applyNumberFormat="1" applyFont="1" applyFill="1" applyBorder="1" applyAlignment="1">
      <alignment horizontal="left" vertical="top"/>
    </xf>
    <xf numFmtId="3" fontId="181" fillId="0" borderId="79" xfId="98" applyNumberFormat="1" applyFont="1" applyFill="1" applyBorder="1" applyAlignment="1">
      <alignment horizontal="left"/>
    </xf>
    <xf numFmtId="3" fontId="181" fillId="0" borderId="91" xfId="98" applyNumberFormat="1" applyFont="1" applyFill="1" applyBorder="1" applyAlignment="1">
      <alignment horizontal="left"/>
    </xf>
    <xf numFmtId="3" fontId="181" fillId="0" borderId="70" xfId="98" applyNumberFormat="1" applyFont="1" applyFill="1" applyBorder="1" applyAlignment="1">
      <alignment horizontal="left"/>
    </xf>
    <xf numFmtId="0" fontId="181" fillId="0" borderId="23" xfId="0" applyFont="1" applyFill="1" applyBorder="1"/>
    <xf numFmtId="0" fontId="184" fillId="0" borderId="78" xfId="97" applyFont="1" applyFill="1" applyBorder="1" applyAlignment="1" applyProtection="1">
      <alignment horizontal="left"/>
    </xf>
    <xf numFmtId="0" fontId="181" fillId="0" borderId="20" xfId="0" applyFont="1" applyFill="1" applyBorder="1"/>
    <xf numFmtId="3" fontId="181" fillId="0" borderId="24" xfId="98" applyNumberFormat="1" applyFont="1" applyFill="1" applyBorder="1" applyAlignment="1">
      <alignment horizontal="left"/>
    </xf>
    <xf numFmtId="3" fontId="185" fillId="0" borderId="0" xfId="99" applyNumberFormat="1" applyFont="1" applyBorder="1"/>
    <xf numFmtId="0" fontId="129" fillId="0" borderId="20" xfId="97" applyFont="1" applyFill="1" applyBorder="1" applyAlignment="1" applyProtection="1">
      <alignment horizontal="left" vertical="top"/>
    </xf>
    <xf numFmtId="3" fontId="181" fillId="33" borderId="0" xfId="98" applyNumberFormat="1" applyFont="1" applyFill="1" applyBorder="1" applyAlignment="1">
      <alignment horizontal="right"/>
    </xf>
    <xf numFmtId="3" fontId="181" fillId="0" borderId="20" xfId="98" applyNumberFormat="1" applyFont="1" applyFill="1" applyBorder="1" applyAlignment="1"/>
    <xf numFmtId="3" fontId="181" fillId="0" borderId="0" xfId="98" applyNumberFormat="1" applyFont="1" applyBorder="1" applyAlignment="1"/>
    <xf numFmtId="3" fontId="186" fillId="0" borderId="0" xfId="98" applyNumberFormat="1" applyFont="1" applyBorder="1" applyAlignment="1">
      <alignment horizontal="right"/>
    </xf>
    <xf numFmtId="0" fontId="121" fillId="0" borderId="23" xfId="99" applyFont="1" applyBorder="1" applyAlignment="1">
      <alignment horizontal="center"/>
    </xf>
    <xf numFmtId="3" fontId="180" fillId="0" borderId="0" xfId="100" applyNumberFormat="1" applyFont="1" applyBorder="1" applyProtection="1"/>
    <xf numFmtId="0" fontId="122" fillId="0" borderId="69" xfId="97" applyFont="1" applyBorder="1" applyAlignment="1">
      <alignment horizontal="center" vertical="center"/>
    </xf>
    <xf numFmtId="0" fontId="121" fillId="0" borderId="18" xfId="99" applyFont="1" applyBorder="1" applyAlignment="1">
      <alignment horizontal="center"/>
    </xf>
    <xf numFmtId="0" fontId="179" fillId="0" borderId="91" xfId="100" applyFont="1" applyFill="1" applyBorder="1" applyAlignment="1">
      <alignment horizontal="center" vertical="center"/>
    </xf>
    <xf numFmtId="3" fontId="116" fillId="0" borderId="91" xfId="98" applyNumberFormat="1" applyFont="1" applyBorder="1" applyAlignment="1">
      <alignment horizontal="right"/>
    </xf>
    <xf numFmtId="3" fontId="181" fillId="0" borderId="84" xfId="98" applyNumberFormat="1" applyFont="1" applyFill="1" applyBorder="1" applyAlignment="1">
      <alignment horizontal="left"/>
    </xf>
    <xf numFmtId="3" fontId="181" fillId="0" borderId="130" xfId="98" applyNumberFormat="1" applyFont="1" applyFill="1" applyBorder="1" applyAlignment="1">
      <alignment horizontal="right"/>
    </xf>
    <xf numFmtId="3" fontId="181" fillId="0" borderId="90" xfId="98" applyNumberFormat="1" applyFont="1" applyFill="1" applyBorder="1" applyAlignment="1">
      <alignment horizontal="right"/>
    </xf>
    <xf numFmtId="3" fontId="124" fillId="0" borderId="0" xfId="100" applyNumberFormat="1" applyFont="1" applyBorder="1" applyProtection="1"/>
    <xf numFmtId="0" fontId="181" fillId="0" borderId="26" xfId="100" applyFont="1" applyFill="1" applyBorder="1" applyAlignment="1" applyProtection="1">
      <alignment horizontal="left" vertical="top"/>
    </xf>
    <xf numFmtId="3" fontId="157" fillId="0" borderId="0" xfId="100" applyNumberFormat="1" applyFont="1" applyBorder="1" applyProtection="1"/>
    <xf numFmtId="0" fontId="181" fillId="0" borderId="26" xfId="100" applyFont="1" applyFill="1" applyBorder="1" applyProtection="1"/>
    <xf numFmtId="0" fontId="181" fillId="0" borderId="26" xfId="100" applyFont="1" applyFill="1" applyBorder="1" applyAlignment="1" applyProtection="1">
      <alignment vertical="top"/>
    </xf>
    <xf numFmtId="0" fontId="181" fillId="0" borderId="26" xfId="100" applyFont="1" applyFill="1" applyBorder="1" applyAlignment="1" applyProtection="1">
      <alignment vertical="top" wrapText="1"/>
    </xf>
    <xf numFmtId="0" fontId="181" fillId="0" borderId="26" xfId="0" applyFont="1" applyFill="1" applyBorder="1" applyAlignment="1">
      <alignment horizontal="left" vertical="top"/>
    </xf>
    <xf numFmtId="0" fontId="181" fillId="0" borderId="17" xfId="0" applyFont="1" applyFill="1" applyBorder="1" applyAlignment="1">
      <alignment horizontal="left" vertical="top"/>
    </xf>
    <xf numFmtId="3" fontId="181" fillId="32" borderId="77" xfId="98" applyNumberFormat="1" applyFont="1" applyFill="1" applyBorder="1" applyAlignment="1">
      <alignment horizontal="left"/>
    </xf>
    <xf numFmtId="3" fontId="181" fillId="0" borderId="81" xfId="98" applyNumberFormat="1" applyFont="1" applyFill="1" applyBorder="1" applyAlignment="1">
      <alignment horizontal="right"/>
    </xf>
    <xf numFmtId="3" fontId="181" fillId="0" borderId="119" xfId="98" applyNumberFormat="1" applyFont="1" applyFill="1" applyBorder="1" applyAlignment="1">
      <alignment horizontal="left"/>
    </xf>
    <xf numFmtId="3" fontId="181" fillId="0" borderId="77" xfId="98" applyNumberFormat="1" applyFont="1" applyFill="1" applyBorder="1" applyAlignment="1">
      <alignment horizontal="left"/>
    </xf>
    <xf numFmtId="0" fontId="181" fillId="0" borderId="77" xfId="0" applyFont="1" applyFill="1" applyBorder="1" applyAlignment="1">
      <alignment horizontal="left" vertical="top"/>
    </xf>
    <xf numFmtId="0" fontId="181" fillId="0" borderId="91" xfId="0" applyFont="1" applyFill="1" applyBorder="1" applyAlignment="1">
      <alignment horizontal="left" vertical="top"/>
    </xf>
    <xf numFmtId="3" fontId="182" fillId="34" borderId="78" xfId="98" applyNumberFormat="1" applyFont="1" applyFill="1" applyBorder="1" applyAlignment="1">
      <alignment horizontal="left"/>
    </xf>
    <xf numFmtId="3" fontId="182" fillId="34" borderId="70" xfId="98" applyNumberFormat="1" applyFont="1" applyFill="1" applyBorder="1" applyAlignment="1">
      <alignment horizontal="left"/>
    </xf>
    <xf numFmtId="3" fontId="182" fillId="34" borderId="70" xfId="98" applyNumberFormat="1" applyFont="1" applyFill="1" applyBorder="1" applyAlignment="1">
      <alignment horizontal="right"/>
    </xf>
    <xf numFmtId="3" fontId="125" fillId="0" borderId="0" xfId="100" applyNumberFormat="1" applyFont="1" applyBorder="1" applyProtection="1"/>
    <xf numFmtId="3" fontId="181" fillId="0" borderId="103" xfId="98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left" vertical="top"/>
    </xf>
    <xf numFmtId="0" fontId="115" fillId="0" borderId="0" xfId="99" applyFill="1" applyBorder="1"/>
    <xf numFmtId="3" fontId="157" fillId="0" borderId="0" xfId="100" applyNumberFormat="1" applyFont="1" applyFill="1" applyBorder="1" applyProtection="1"/>
    <xf numFmtId="3" fontId="181" fillId="0" borderId="85" xfId="98" applyNumberFormat="1" applyFont="1" applyFill="1" applyBorder="1" applyAlignment="1">
      <alignment horizontal="right"/>
    </xf>
    <xf numFmtId="0" fontId="181" fillId="0" borderId="23" xfId="100" applyFont="1" applyFill="1" applyBorder="1" applyAlignment="1" applyProtection="1">
      <alignment horizontal="justify" vertical="top"/>
    </xf>
    <xf numFmtId="3" fontId="181" fillId="0" borderId="69" xfId="98" applyNumberFormat="1" applyFont="1" applyFill="1" applyBorder="1" applyAlignment="1">
      <alignment horizontal="left"/>
    </xf>
    <xf numFmtId="3" fontId="181" fillId="0" borderId="87" xfId="98" applyNumberFormat="1" applyFont="1" applyFill="1" applyBorder="1" applyAlignment="1">
      <alignment horizontal="right"/>
    </xf>
    <xf numFmtId="0" fontId="181" fillId="0" borderId="107" xfId="100" applyFont="1" applyFill="1" applyBorder="1" applyAlignment="1" applyProtection="1">
      <alignment horizontal="justify" vertical="top"/>
    </xf>
    <xf numFmtId="3" fontId="181" fillId="0" borderId="82" xfId="98" applyNumberFormat="1" applyFont="1" applyFill="1" applyBorder="1" applyAlignment="1">
      <alignment horizontal="right"/>
    </xf>
    <xf numFmtId="3" fontId="181" fillId="0" borderId="81" xfId="98" applyNumberFormat="1" applyFont="1" applyFill="1" applyBorder="1" applyAlignment="1">
      <alignment horizontal="left"/>
    </xf>
    <xf numFmtId="3" fontId="157" fillId="0" borderId="0" xfId="99" applyNumberFormat="1" applyFont="1" applyBorder="1"/>
    <xf numFmtId="3" fontId="181" fillId="0" borderId="108" xfId="98" applyNumberFormat="1" applyFont="1" applyFill="1" applyBorder="1" applyAlignment="1">
      <alignment horizontal="left"/>
    </xf>
    <xf numFmtId="0" fontId="181" fillId="0" borderId="20" xfId="100" applyFont="1" applyFill="1" applyBorder="1" applyAlignment="1" applyProtection="1">
      <alignment horizontal="justify" vertical="top"/>
    </xf>
    <xf numFmtId="3" fontId="181" fillId="0" borderId="78" xfId="98" applyNumberFormat="1" applyFont="1" applyFill="1" applyBorder="1" applyAlignment="1">
      <alignment horizontal="left"/>
    </xf>
    <xf numFmtId="3" fontId="187" fillId="34" borderId="19" xfId="97" applyNumberFormat="1" applyFont="1" applyFill="1" applyBorder="1" applyAlignment="1">
      <alignment horizontal="left"/>
    </xf>
    <xf numFmtId="3" fontId="182" fillId="34" borderId="85" xfId="98" applyNumberFormat="1" applyFont="1" applyFill="1" applyBorder="1" applyAlignment="1">
      <alignment horizontal="right"/>
    </xf>
    <xf numFmtId="3" fontId="187" fillId="34" borderId="23" xfId="97" applyNumberFormat="1" applyFont="1" applyFill="1" applyBorder="1" applyAlignment="1">
      <alignment horizontal="left"/>
    </xf>
    <xf numFmtId="0" fontId="181" fillId="34" borderId="84" xfId="100" applyFont="1" applyFill="1" applyBorder="1" applyAlignment="1">
      <alignment horizontal="left"/>
    </xf>
    <xf numFmtId="3" fontId="182" fillId="34" borderId="53" xfId="98" applyNumberFormat="1" applyFont="1" applyFill="1" applyBorder="1" applyAlignment="1">
      <alignment horizontal="right"/>
    </xf>
    <xf numFmtId="0" fontId="188" fillId="0" borderId="23" xfId="97" applyFont="1" applyFill="1" applyBorder="1" applyAlignment="1" applyProtection="1">
      <alignment horizontal="center" vertical="center"/>
    </xf>
    <xf numFmtId="0" fontId="181" fillId="0" borderId="84" xfId="100" applyFont="1" applyFill="1" applyBorder="1" applyAlignment="1">
      <alignment horizontal="left"/>
    </xf>
    <xf numFmtId="3" fontId="181" fillId="0" borderId="53" xfId="98" applyNumberFormat="1" applyFont="1" applyFill="1" applyBorder="1" applyAlignment="1">
      <alignment horizontal="right"/>
    </xf>
    <xf numFmtId="0" fontId="157" fillId="0" borderId="0" xfId="99" applyFont="1" applyBorder="1"/>
    <xf numFmtId="0" fontId="187" fillId="0" borderId="18" xfId="97" applyFont="1" applyFill="1" applyBorder="1" applyProtection="1"/>
    <xf numFmtId="0" fontId="181" fillId="0" borderId="69" xfId="0" applyFont="1" applyFill="1" applyBorder="1"/>
    <xf numFmtId="0" fontId="181" fillId="0" borderId="18" xfId="0" applyFont="1" applyFill="1" applyBorder="1"/>
    <xf numFmtId="3" fontId="182" fillId="0" borderId="70" xfId="98" applyNumberFormat="1" applyFont="1" applyFill="1" applyBorder="1" applyAlignment="1">
      <alignment horizontal="left"/>
    </xf>
    <xf numFmtId="3" fontId="181" fillId="32" borderId="119" xfId="98" applyNumberFormat="1" applyFont="1" applyFill="1" applyBorder="1" applyAlignment="1">
      <alignment horizontal="left"/>
    </xf>
    <xf numFmtId="3" fontId="181" fillId="32" borderId="103" xfId="98" applyNumberFormat="1" applyFont="1" applyFill="1" applyBorder="1" applyAlignment="1">
      <alignment horizontal="right"/>
    </xf>
    <xf numFmtId="3" fontId="181" fillId="32" borderId="79" xfId="98" applyNumberFormat="1" applyFont="1" applyFill="1" applyBorder="1" applyAlignment="1">
      <alignment horizontal="left"/>
    </xf>
    <xf numFmtId="3" fontId="181" fillId="32" borderId="90" xfId="98" applyNumberFormat="1" applyFont="1" applyFill="1" applyBorder="1" applyAlignment="1">
      <alignment horizontal="right"/>
    </xf>
    <xf numFmtId="3" fontId="181" fillId="32" borderId="81" xfId="98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 vertical="top"/>
    </xf>
    <xf numFmtId="0" fontId="187" fillId="0" borderId="17" xfId="97" applyFont="1" applyFill="1" applyBorder="1" applyAlignment="1" applyProtection="1">
      <alignment horizontal="left"/>
    </xf>
    <xf numFmtId="0" fontId="181" fillId="0" borderId="19" xfId="100" applyFont="1" applyFill="1" applyBorder="1" applyAlignment="1">
      <alignment horizontal="left"/>
    </xf>
    <xf numFmtId="0" fontId="187" fillId="0" borderId="69" xfId="97" applyFont="1" applyFill="1" applyBorder="1" applyAlignment="1" applyProtection="1">
      <alignment horizontal="left" vertical="top" wrapText="1"/>
    </xf>
    <xf numFmtId="0" fontId="181" fillId="0" borderId="0" xfId="0" applyFont="1" applyFill="1" applyBorder="1" applyAlignment="1">
      <alignment horizontal="justify" vertical="top" wrapText="1"/>
    </xf>
    <xf numFmtId="0" fontId="187" fillId="0" borderId="23" xfId="97" applyFont="1" applyFill="1" applyBorder="1" applyProtection="1"/>
    <xf numFmtId="0" fontId="181" fillId="0" borderId="70" xfId="100" applyFont="1" applyFill="1" applyBorder="1" applyAlignment="1">
      <alignment horizontal="left"/>
    </xf>
    <xf numFmtId="3" fontId="182" fillId="0" borderId="85" xfId="98" applyNumberFormat="1" applyFont="1" applyFill="1" applyBorder="1" applyAlignment="1">
      <alignment horizontal="right"/>
    </xf>
    <xf numFmtId="0" fontId="187" fillId="0" borderId="84" xfId="97" applyFont="1" applyFill="1" applyBorder="1" applyProtection="1"/>
    <xf numFmtId="0" fontId="181" fillId="0" borderId="53" xfId="100" applyFont="1" applyFill="1" applyBorder="1" applyAlignment="1">
      <alignment horizontal="left"/>
    </xf>
    <xf numFmtId="0" fontId="181" fillId="0" borderId="69" xfId="97" applyFont="1" applyFill="1" applyBorder="1" applyAlignment="1" applyProtection="1">
      <alignment horizontal="left" vertical="top" wrapText="1"/>
    </xf>
    <xf numFmtId="0" fontId="181" fillId="0" borderId="103" xfId="0" applyFont="1" applyFill="1" applyBorder="1" applyAlignment="1">
      <alignment wrapText="1"/>
    </xf>
    <xf numFmtId="0" fontId="187" fillId="0" borderId="77" xfId="97" applyFont="1" applyFill="1" applyBorder="1" applyAlignment="1" applyProtection="1">
      <alignment horizontal="left" vertical="top" wrapText="1"/>
    </xf>
    <xf numFmtId="0" fontId="181" fillId="0" borderId="85" xfId="0" applyFont="1" applyFill="1" applyBorder="1"/>
    <xf numFmtId="3" fontId="182" fillId="0" borderId="87" xfId="98" applyNumberFormat="1" applyFont="1" applyFill="1" applyBorder="1" applyAlignment="1">
      <alignment horizontal="right"/>
    </xf>
    <xf numFmtId="0" fontId="181" fillId="0" borderId="130" xfId="0" applyFont="1" applyFill="1" applyBorder="1" applyAlignment="1">
      <alignment horizontal="justify" vertical="top" wrapText="1"/>
    </xf>
    <xf numFmtId="0" fontId="181" fillId="0" borderId="103" xfId="0" applyFont="1" applyFill="1" applyBorder="1" applyAlignment="1">
      <alignment vertical="top" wrapText="1"/>
    </xf>
    <xf numFmtId="3" fontId="181" fillId="0" borderId="0" xfId="98" applyNumberFormat="1" applyFont="1" applyFill="1" applyBorder="1" applyAlignment="1">
      <alignment horizontal="right"/>
    </xf>
    <xf numFmtId="0" fontId="181" fillId="0" borderId="0" xfId="0" applyFont="1" applyFill="1" applyBorder="1" applyAlignment="1">
      <alignment vertical="top" wrapText="1"/>
    </xf>
    <xf numFmtId="0" fontId="187" fillId="0" borderId="77" xfId="97" applyFont="1" applyFill="1" applyBorder="1" applyAlignment="1" applyProtection="1">
      <alignment horizontal="left"/>
    </xf>
    <xf numFmtId="0" fontId="181" fillId="0" borderId="81" xfId="0" applyFont="1" applyFill="1" applyBorder="1" applyAlignment="1">
      <alignment vertical="top" wrapText="1"/>
    </xf>
    <xf numFmtId="0" fontId="181" fillId="0" borderId="84" xfId="97" applyFont="1" applyFill="1" applyBorder="1" applyAlignment="1" applyProtection="1">
      <alignment horizontal="left" vertical="top" wrapText="1"/>
    </xf>
    <xf numFmtId="0" fontId="181" fillId="0" borderId="46" xfId="0" applyFont="1" applyFill="1" applyBorder="1" applyAlignment="1">
      <alignment horizontal="justify" vertical="center" wrapText="1"/>
    </xf>
    <xf numFmtId="0" fontId="181" fillId="0" borderId="22" xfId="0" applyFont="1" applyFill="1" applyBorder="1" applyAlignment="1">
      <alignment horizontal="justify" vertical="top" wrapText="1"/>
    </xf>
    <xf numFmtId="0" fontId="181" fillId="0" borderId="134" xfId="0" applyFont="1" applyFill="1" applyBorder="1" applyAlignment="1">
      <alignment horizontal="justify" vertical="center" wrapText="1"/>
    </xf>
    <xf numFmtId="0" fontId="181" fillId="0" borderId="81" xfId="100" applyFont="1" applyFill="1" applyBorder="1" applyAlignment="1">
      <alignment horizontal="left"/>
    </xf>
    <xf numFmtId="3" fontId="182" fillId="0" borderId="81" xfId="98" applyNumberFormat="1" applyFont="1" applyFill="1" applyBorder="1" applyAlignment="1">
      <alignment horizontal="right"/>
    </xf>
    <xf numFmtId="0" fontId="187" fillId="34" borderId="78" xfId="97" applyFont="1" applyFill="1" applyBorder="1" applyAlignment="1" applyProtection="1">
      <alignment horizontal="left"/>
    </xf>
    <xf numFmtId="3" fontId="182" fillId="34" borderId="78" xfId="98" applyNumberFormat="1" applyFont="1" applyFill="1" applyBorder="1" applyAlignment="1">
      <alignment horizontal="right"/>
    </xf>
    <xf numFmtId="0" fontId="187" fillId="34" borderId="78" xfId="97" applyFont="1" applyFill="1" applyBorder="1" applyAlignment="1" applyProtection="1"/>
    <xf numFmtId="0" fontId="182" fillId="34" borderId="78" xfId="97" applyFont="1" applyFill="1" applyBorder="1" applyAlignment="1" applyProtection="1">
      <alignment horizontal="center" vertical="center"/>
    </xf>
    <xf numFmtId="3" fontId="181" fillId="34" borderId="78" xfId="98" applyNumberFormat="1" applyFont="1" applyFill="1" applyBorder="1" applyAlignment="1">
      <alignment horizontal="right"/>
    </xf>
    <xf numFmtId="3" fontId="189" fillId="0" borderId="0" xfId="98" applyNumberFormat="1" applyFont="1" applyBorder="1" applyAlignment="1">
      <alignment horizontal="right"/>
    </xf>
    <xf numFmtId="3" fontId="106" fillId="0" borderId="0" xfId="98" applyNumberFormat="1" applyFont="1" applyBorder="1" applyAlignment="1">
      <alignment horizontal="right"/>
    </xf>
    <xf numFmtId="9" fontId="182" fillId="0" borderId="70" xfId="98" applyNumberFormat="1" applyFont="1" applyBorder="1" applyAlignment="1">
      <alignment horizontal="center"/>
    </xf>
    <xf numFmtId="9" fontId="182" fillId="0" borderId="23" xfId="98" applyNumberFormat="1" applyFont="1" applyBorder="1" applyAlignment="1">
      <alignment horizontal="center"/>
    </xf>
    <xf numFmtId="3" fontId="124" fillId="0" borderId="18" xfId="98" applyNumberFormat="1" applyFont="1" applyBorder="1" applyAlignment="1">
      <alignment horizontal="left"/>
    </xf>
    <xf numFmtId="3" fontId="128" fillId="0" borderId="19" xfId="98" applyNumberFormat="1" applyFont="1" applyFill="1" applyBorder="1" applyAlignment="1">
      <alignment horizontal="left"/>
    </xf>
    <xf numFmtId="3" fontId="128" fillId="0" borderId="20" xfId="98" applyNumberFormat="1" applyFont="1" applyFill="1" applyBorder="1" applyAlignment="1">
      <alignment horizontal="left"/>
    </xf>
    <xf numFmtId="3" fontId="128" fillId="0" borderId="23" xfId="98" applyNumberFormat="1" applyFont="1" applyFill="1" applyBorder="1" applyAlignment="1">
      <alignment horizontal="left"/>
    </xf>
    <xf numFmtId="3" fontId="128" fillId="0" borderId="18" xfId="98" applyNumberFormat="1" applyFont="1" applyFill="1" applyBorder="1" applyAlignment="1">
      <alignment horizontal="left"/>
    </xf>
    <xf numFmtId="3" fontId="128" fillId="0" borderId="46" xfId="98" applyNumberFormat="1" applyFont="1" applyFill="1" applyBorder="1" applyAlignment="1">
      <alignment horizontal="left"/>
    </xf>
    <xf numFmtId="3" fontId="129" fillId="0" borderId="20" xfId="98" applyNumberFormat="1" applyFont="1" applyFill="1" applyBorder="1" applyAlignment="1">
      <alignment horizontal="left"/>
    </xf>
    <xf numFmtId="3" fontId="129" fillId="0" borderId="78" xfId="98" applyNumberFormat="1" applyFont="1" applyFill="1" applyBorder="1" applyAlignment="1">
      <alignment horizontal="left"/>
    </xf>
    <xf numFmtId="3" fontId="129" fillId="0" borderId="46" xfId="98" applyNumberFormat="1" applyFont="1" applyFill="1" applyBorder="1" applyAlignment="1">
      <alignment horizontal="left"/>
    </xf>
    <xf numFmtId="3" fontId="124" fillId="0" borderId="101" xfId="98" applyNumberFormat="1" applyFont="1" applyFill="1" applyBorder="1" applyAlignment="1">
      <alignment horizontal="left"/>
    </xf>
    <xf numFmtId="3" fontId="124" fillId="0" borderId="119" xfId="98" applyNumberFormat="1" applyFont="1" applyFill="1" applyBorder="1" applyAlignment="1">
      <alignment horizontal="right"/>
    </xf>
    <xf numFmtId="3" fontId="124" fillId="0" borderId="26" xfId="98" applyNumberFormat="1" applyFont="1" applyFill="1" applyBorder="1" applyAlignment="1">
      <alignment horizontal="left"/>
    </xf>
    <xf numFmtId="3" fontId="124" fillId="0" borderId="79" xfId="98" applyNumberFormat="1" applyFont="1" applyFill="1" applyBorder="1" applyAlignment="1">
      <alignment horizontal="right"/>
    </xf>
    <xf numFmtId="3" fontId="124" fillId="0" borderId="19" xfId="98" applyNumberFormat="1" applyFont="1" applyFill="1" applyBorder="1" applyAlignment="1">
      <alignment horizontal="left"/>
    </xf>
    <xf numFmtId="3" fontId="124" fillId="0" borderId="70" xfId="98" applyNumberFormat="1" applyFont="1" applyFill="1" applyBorder="1" applyAlignment="1">
      <alignment horizontal="right"/>
    </xf>
    <xf numFmtId="3" fontId="124" fillId="0" borderId="133" xfId="98" applyNumberFormat="1" applyFont="1" applyFill="1" applyBorder="1" applyAlignment="1">
      <alignment horizontal="right"/>
    </xf>
    <xf numFmtId="3" fontId="124" fillId="0" borderId="129" xfId="98" applyNumberFormat="1" applyFont="1" applyFill="1" applyBorder="1" applyAlignment="1">
      <alignment horizontal="left"/>
    </xf>
    <xf numFmtId="3" fontId="124" fillId="0" borderId="23" xfId="98" applyNumberFormat="1" applyFont="1" applyFill="1" applyBorder="1" applyAlignment="1">
      <alignment horizontal="left"/>
    </xf>
    <xf numFmtId="3" fontId="124" fillId="0" borderId="84" xfId="98" applyNumberFormat="1" applyFont="1" applyFill="1" applyBorder="1" applyAlignment="1">
      <alignment horizontal="right"/>
    </xf>
    <xf numFmtId="3" fontId="124" fillId="0" borderId="18" xfId="98" applyNumberFormat="1" applyFont="1" applyFill="1" applyBorder="1" applyAlignment="1">
      <alignment horizontal="left"/>
    </xf>
    <xf numFmtId="3" fontId="124" fillId="0" borderId="17" xfId="98" applyNumberFormat="1" applyFont="1" applyFill="1" applyBorder="1" applyAlignment="1">
      <alignment horizontal="left"/>
    </xf>
    <xf numFmtId="3" fontId="124" fillId="0" borderId="69" xfId="98" applyNumberFormat="1" applyFont="1" applyFill="1" applyBorder="1" applyAlignment="1">
      <alignment horizontal="right"/>
    </xf>
    <xf numFmtId="3" fontId="124" fillId="0" borderId="77" xfId="98" applyNumberFormat="1" applyFont="1" applyFill="1" applyBorder="1" applyAlignment="1">
      <alignment horizontal="right"/>
    </xf>
    <xf numFmtId="3" fontId="124" fillId="0" borderId="57" xfId="98" applyNumberFormat="1" applyFont="1" applyFill="1" applyBorder="1" applyAlignment="1">
      <alignment horizontal="left"/>
    </xf>
    <xf numFmtId="3" fontId="124" fillId="0" borderId="91" xfId="98" applyNumberFormat="1" applyFont="1" applyFill="1" applyBorder="1" applyAlignment="1">
      <alignment horizontal="right"/>
    </xf>
    <xf numFmtId="3" fontId="124" fillId="0" borderId="134" xfId="98" applyNumberFormat="1" applyFont="1" applyFill="1" applyBorder="1" applyAlignment="1">
      <alignment horizontal="left"/>
    </xf>
    <xf numFmtId="3" fontId="124" fillId="0" borderId="93" xfId="98" applyNumberFormat="1" applyFont="1" applyFill="1" applyBorder="1" applyAlignment="1">
      <alignment horizontal="left"/>
    </xf>
    <xf numFmtId="3" fontId="124" fillId="0" borderId="22" xfId="98" applyNumberFormat="1" applyFont="1" applyFill="1" applyBorder="1" applyAlignment="1">
      <alignment horizontal="left"/>
    </xf>
    <xf numFmtId="3" fontId="124" fillId="0" borderId="20" xfId="98" applyNumberFormat="1" applyFont="1" applyFill="1" applyBorder="1" applyAlignment="1">
      <alignment horizontal="left"/>
    </xf>
    <xf numFmtId="0" fontId="124" fillId="0" borderId="129" xfId="99" applyFont="1" applyFill="1" applyBorder="1"/>
    <xf numFmtId="0" fontId="124" fillId="0" borderId="26" xfId="99" applyFont="1" applyFill="1" applyBorder="1"/>
    <xf numFmtId="0" fontId="124" fillId="0" borderId="57" xfId="99" applyFont="1" applyFill="1" applyBorder="1"/>
    <xf numFmtId="0" fontId="124" fillId="0" borderId="20" xfId="99" applyFont="1" applyFill="1" applyBorder="1"/>
    <xf numFmtId="3" fontId="124" fillId="0" borderId="133" xfId="98" applyNumberFormat="1" applyFont="1" applyFill="1" applyBorder="1" applyAlignment="1">
      <alignment horizontal="left"/>
    </xf>
    <xf numFmtId="3" fontId="124" fillId="0" borderId="79" xfId="98" applyNumberFormat="1" applyFont="1" applyFill="1" applyBorder="1" applyAlignment="1">
      <alignment horizontal="left"/>
    </xf>
    <xf numFmtId="3" fontId="124" fillId="0" borderId="91" xfId="98" applyNumberFormat="1" applyFont="1" applyFill="1" applyBorder="1" applyAlignment="1">
      <alignment horizontal="left"/>
    </xf>
    <xf numFmtId="3" fontId="124" fillId="0" borderId="70" xfId="98" applyNumberFormat="1" applyFont="1" applyFill="1" applyBorder="1" applyAlignment="1">
      <alignment horizontal="left"/>
    </xf>
    <xf numFmtId="0" fontId="124" fillId="0" borderId="129" xfId="0" applyFont="1" applyFill="1" applyBorder="1"/>
    <xf numFmtId="0" fontId="124" fillId="0" borderId="101" xfId="0" applyFont="1" applyFill="1" applyBorder="1"/>
    <xf numFmtId="0" fontId="124" fillId="0" borderId="26" xfId="0" applyFont="1" applyFill="1" applyBorder="1"/>
    <xf numFmtId="0" fontId="124" fillId="0" borderId="57" xfId="0" applyFont="1" applyFill="1" applyBorder="1"/>
    <xf numFmtId="0" fontId="124" fillId="0" borderId="17" xfId="0" applyFont="1" applyFill="1" applyBorder="1"/>
    <xf numFmtId="0" fontId="124" fillId="0" borderId="26" xfId="0" applyFont="1" applyFill="1" applyBorder="1" applyAlignment="1">
      <alignment horizontal="left"/>
    </xf>
    <xf numFmtId="0" fontId="124" fillId="0" borderId="23" xfId="0" applyFont="1" applyFill="1" applyBorder="1"/>
    <xf numFmtId="0" fontId="124" fillId="0" borderId="19" xfId="0" applyFont="1" applyFill="1" applyBorder="1"/>
    <xf numFmtId="3" fontId="124" fillId="0" borderId="24" xfId="98" applyNumberFormat="1" applyFont="1" applyFill="1" applyBorder="1" applyAlignment="1">
      <alignment horizontal="left"/>
    </xf>
    <xf numFmtId="3" fontId="124" fillId="0" borderId="0" xfId="98" applyNumberFormat="1" applyFont="1" applyFill="1" applyBorder="1" applyAlignment="1">
      <alignment horizontal="left"/>
    </xf>
    <xf numFmtId="3" fontId="124" fillId="0" borderId="119" xfId="98" applyNumberFormat="1" applyFont="1" applyFill="1" applyBorder="1" applyAlignment="1"/>
    <xf numFmtId="3" fontId="124" fillId="0" borderId="79" xfId="98" applyNumberFormat="1" applyFont="1" applyFill="1" applyBorder="1" applyAlignment="1"/>
    <xf numFmtId="3" fontId="124" fillId="0" borderId="84" xfId="99" applyNumberFormat="1" applyFont="1" applyFill="1" applyBorder="1"/>
    <xf numFmtId="3" fontId="120" fillId="0" borderId="84" xfId="98" applyNumberFormat="1" applyFont="1" applyFill="1" applyBorder="1" applyAlignment="1">
      <alignment horizontal="right"/>
    </xf>
    <xf numFmtId="3" fontId="124" fillId="0" borderId="24" xfId="98" applyNumberFormat="1" applyFont="1" applyFill="1" applyBorder="1" applyAlignment="1"/>
    <xf numFmtId="3" fontId="124" fillId="0" borderId="108" xfId="98" applyNumberFormat="1" applyFont="1" applyFill="1" applyBorder="1" applyAlignment="1"/>
    <xf numFmtId="3" fontId="124" fillId="0" borderId="91" xfId="98" applyNumberFormat="1" applyFont="1" applyFill="1" applyBorder="1" applyAlignment="1"/>
    <xf numFmtId="3" fontId="124" fillId="0" borderId="22" xfId="98" applyNumberFormat="1" applyFont="1" applyFill="1" applyBorder="1" applyAlignment="1"/>
    <xf numFmtId="3" fontId="124" fillId="0" borderId="77" xfId="98" applyNumberFormat="1" applyFont="1" applyFill="1" applyBorder="1" applyAlignment="1"/>
    <xf numFmtId="3" fontId="124" fillId="0" borderId="69" xfId="98" applyNumberFormat="1" applyFont="1" applyBorder="1" applyAlignment="1">
      <alignment horizontal="right"/>
    </xf>
    <xf numFmtId="3" fontId="120" fillId="0" borderId="19" xfId="98" applyNumberFormat="1" applyFont="1" applyFill="1" applyBorder="1" applyAlignment="1">
      <alignment horizontal="left"/>
    </xf>
    <xf numFmtId="3" fontId="122" fillId="0" borderId="0" xfId="98" applyNumberFormat="1" applyFont="1" applyBorder="1" applyAlignment="1">
      <alignment horizontal="right"/>
    </xf>
    <xf numFmtId="3" fontId="124" fillId="0" borderId="0" xfId="98" applyNumberFormat="1" applyFont="1" applyBorder="1" applyAlignment="1">
      <alignment horizontal="right"/>
    </xf>
    <xf numFmtId="9" fontId="120" fillId="0" borderId="70" xfId="98" applyNumberFormat="1" applyFont="1" applyBorder="1" applyAlignment="1">
      <alignment horizontal="center"/>
    </xf>
    <xf numFmtId="9" fontId="120" fillId="0" borderId="84" xfId="98" applyNumberFormat="1" applyFont="1" applyBorder="1" applyAlignment="1">
      <alignment horizontal="center"/>
    </xf>
    <xf numFmtId="3" fontId="124" fillId="0" borderId="0" xfId="98" applyNumberFormat="1" applyFont="1" applyBorder="1" applyAlignment="1"/>
    <xf numFmtId="3" fontId="123" fillId="0" borderId="0" xfId="98" applyNumberFormat="1" applyFont="1" applyBorder="1" applyAlignment="1">
      <alignment horizontal="right"/>
    </xf>
    <xf numFmtId="3" fontId="124" fillId="0" borderId="134" xfId="98" applyNumberFormat="1" applyFont="1" applyFill="1" applyBorder="1" applyAlignment="1">
      <alignment horizontal="left" wrapText="1"/>
    </xf>
    <xf numFmtId="0" fontId="127" fillId="0" borderId="0" xfId="97" applyFont="1"/>
    <xf numFmtId="0" fontId="127" fillId="0" borderId="0" xfId="99" applyFont="1"/>
    <xf numFmtId="0" fontId="128" fillId="0" borderId="0" xfId="97" applyFont="1"/>
    <xf numFmtId="0" fontId="129" fillId="0" borderId="23" xfId="97" applyFont="1" applyBorder="1" applyAlignment="1">
      <alignment horizontal="center" vertical="center"/>
    </xf>
    <xf numFmtId="0" fontId="129" fillId="0" borderId="18" xfId="97" applyFont="1" applyBorder="1" applyAlignment="1">
      <alignment horizontal="center" vertical="center"/>
    </xf>
    <xf numFmtId="0" fontId="129" fillId="0" borderId="19" xfId="97" applyFont="1" applyBorder="1" applyAlignment="1">
      <alignment horizontal="center" vertical="center"/>
    </xf>
    <xf numFmtId="0" fontId="131" fillId="0" borderId="18" xfId="100" applyFont="1" applyFill="1" applyBorder="1" applyAlignment="1">
      <alignment horizontal="center" vertical="center"/>
    </xf>
    <xf numFmtId="0" fontId="128" fillId="0" borderId="18" xfId="100" applyFont="1" applyFill="1" applyBorder="1" applyAlignment="1" applyProtection="1">
      <alignment horizontal="left" vertical="top"/>
    </xf>
    <xf numFmtId="0" fontId="128" fillId="0" borderId="19" xfId="100" applyFont="1" applyFill="1" applyBorder="1" applyAlignment="1" applyProtection="1">
      <alignment horizontal="left" vertical="top"/>
    </xf>
    <xf numFmtId="0" fontId="128" fillId="0" borderId="84" xfId="100" applyFont="1" applyFill="1" applyBorder="1" applyAlignment="1" applyProtection="1">
      <alignment horizontal="left" vertical="top"/>
    </xf>
    <xf numFmtId="0" fontId="128" fillId="0" borderId="69" xfId="100" applyFont="1" applyFill="1" applyBorder="1" applyAlignment="1" applyProtection="1">
      <alignment horizontal="left" vertical="top"/>
    </xf>
    <xf numFmtId="0" fontId="128" fillId="0" borderId="23" xfId="100" applyFont="1" applyFill="1" applyBorder="1" applyAlignment="1" applyProtection="1">
      <alignment vertical="top"/>
    </xf>
    <xf numFmtId="0" fontId="128" fillId="0" borderId="18" xfId="0" applyFont="1" applyFill="1" applyBorder="1" applyAlignment="1">
      <alignment vertical="top"/>
    </xf>
    <xf numFmtId="0" fontId="128" fillId="0" borderId="19" xfId="0" applyFont="1" applyFill="1" applyBorder="1" applyAlignment="1">
      <alignment vertical="top"/>
    </xf>
    <xf numFmtId="0" fontId="128" fillId="0" borderId="84" xfId="100" applyFont="1" applyFill="1" applyBorder="1" applyAlignment="1" applyProtection="1">
      <alignment vertical="top"/>
    </xf>
    <xf numFmtId="0" fontId="128" fillId="0" borderId="69" xfId="100" applyFont="1" applyFill="1" applyBorder="1" applyAlignment="1" applyProtection="1">
      <alignment vertical="top"/>
    </xf>
    <xf numFmtId="0" fontId="128" fillId="0" borderId="70" xfId="0" applyFont="1" applyFill="1" applyBorder="1" applyAlignment="1">
      <alignment vertical="top"/>
    </xf>
    <xf numFmtId="0" fontId="128" fillId="0" borderId="69" xfId="0" applyFont="1" applyFill="1" applyBorder="1" applyAlignment="1">
      <alignment vertical="top"/>
    </xf>
    <xf numFmtId="0" fontId="128" fillId="0" borderId="18" xfId="100" applyFont="1" applyFill="1" applyBorder="1" applyAlignment="1" applyProtection="1">
      <alignment vertical="top"/>
    </xf>
    <xf numFmtId="0" fontId="128" fillId="0" borderId="19" xfId="0" applyFont="1" applyFill="1" applyBorder="1" applyAlignment="1">
      <alignment horizontal="justify" vertical="top"/>
    </xf>
    <xf numFmtId="0" fontId="128" fillId="0" borderId="69" xfId="97" applyFont="1" applyFill="1" applyBorder="1" applyAlignment="1" applyProtection="1">
      <alignment horizontal="left" vertical="top"/>
    </xf>
    <xf numFmtId="0" fontId="128" fillId="0" borderId="20" xfId="97" applyFont="1" applyFill="1" applyBorder="1" applyAlignment="1" applyProtection="1">
      <alignment horizontal="left" vertical="top"/>
    </xf>
    <xf numFmtId="0" fontId="128" fillId="0" borderId="23" xfId="0" applyFont="1" applyFill="1" applyBorder="1" applyAlignment="1">
      <alignment vertical="top"/>
    </xf>
    <xf numFmtId="0" fontId="128" fillId="0" borderId="20" xfId="0" applyFont="1" applyFill="1" applyBorder="1" applyAlignment="1">
      <alignment vertical="top"/>
    </xf>
    <xf numFmtId="0" fontId="128" fillId="0" borderId="84" xfId="0" applyFont="1" applyFill="1" applyBorder="1" applyAlignment="1">
      <alignment vertical="top"/>
    </xf>
    <xf numFmtId="3" fontId="128" fillId="0" borderId="23" xfId="98" applyNumberFormat="1" applyFont="1" applyFill="1" applyBorder="1" applyAlignment="1">
      <alignment horizontal="left" vertical="top"/>
    </xf>
    <xf numFmtId="3" fontId="128" fillId="0" borderId="18" xfId="98" applyNumberFormat="1" applyFont="1" applyFill="1" applyBorder="1" applyAlignment="1">
      <alignment horizontal="left" vertical="top"/>
    </xf>
    <xf numFmtId="3" fontId="128" fillId="0" borderId="20" xfId="98" applyNumberFormat="1" applyFont="1" applyFill="1" applyBorder="1" applyAlignment="1">
      <alignment horizontal="left" vertical="top"/>
    </xf>
    <xf numFmtId="0" fontId="128" fillId="0" borderId="23" xfId="0" applyFont="1" applyFill="1" applyBorder="1" applyAlignment="1">
      <alignment horizontal="right" vertical="top"/>
    </xf>
    <xf numFmtId="0" fontId="128" fillId="0" borderId="18" xfId="0" applyFont="1" applyFill="1" applyBorder="1" applyAlignment="1">
      <alignment horizontal="right" vertical="top"/>
    </xf>
    <xf numFmtId="0" fontId="128" fillId="0" borderId="18" xfId="0" applyFont="1" applyFill="1" applyBorder="1" applyAlignment="1">
      <alignment horizontal="right" vertical="center"/>
    </xf>
    <xf numFmtId="0" fontId="128" fillId="0" borderId="18" xfId="0" applyFont="1" applyFill="1" applyBorder="1" applyAlignment="1">
      <alignment horizontal="right"/>
    </xf>
    <xf numFmtId="0" fontId="128" fillId="0" borderId="69" xfId="0" applyFont="1" applyFill="1" applyBorder="1" applyAlignment="1">
      <alignment horizontal="right" vertical="top"/>
    </xf>
    <xf numFmtId="0" fontId="128" fillId="0" borderId="18" xfId="97" applyFont="1" applyFill="1" applyBorder="1"/>
    <xf numFmtId="0" fontId="128" fillId="0" borderId="18" xfId="97" applyFont="1" applyFill="1" applyBorder="1" applyProtection="1"/>
    <xf numFmtId="0" fontId="128" fillId="0" borderId="18" xfId="97" applyFont="1" applyFill="1" applyBorder="1" applyAlignment="1" applyProtection="1">
      <alignment horizontal="right"/>
    </xf>
    <xf numFmtId="0" fontId="128" fillId="0" borderId="18" xfId="97" applyFont="1" applyFill="1" applyBorder="1" applyAlignment="1" applyProtection="1">
      <alignment vertical="top"/>
    </xf>
    <xf numFmtId="0" fontId="128" fillId="0" borderId="18" xfId="97" applyFont="1" applyFill="1" applyBorder="1" applyAlignment="1" applyProtection="1">
      <alignment horizontal="right" vertical="top"/>
    </xf>
    <xf numFmtId="0" fontId="128" fillId="0" borderId="18" xfId="97" applyFont="1" applyFill="1" applyBorder="1" applyAlignment="1" applyProtection="1">
      <alignment horizontal="left" vertical="top" wrapText="1"/>
    </xf>
    <xf numFmtId="166" fontId="128" fillId="0" borderId="18" xfId="110" applyNumberFormat="1" applyFont="1" applyFill="1" applyBorder="1" applyAlignment="1" applyProtection="1">
      <alignment horizontal="right" vertical="top" wrapText="1"/>
    </xf>
    <xf numFmtId="0" fontId="128" fillId="0" borderId="69" xfId="99" applyFont="1" applyFill="1" applyBorder="1" applyAlignment="1">
      <alignment horizontal="right"/>
    </xf>
    <xf numFmtId="0" fontId="128" fillId="0" borderId="69" xfId="97" applyFont="1" applyFill="1" applyBorder="1"/>
    <xf numFmtId="0" fontId="128" fillId="0" borderId="70" xfId="97" applyFont="1" applyFill="1" applyBorder="1"/>
    <xf numFmtId="0" fontId="129" fillId="0" borderId="84" xfId="99" applyFont="1" applyBorder="1" applyAlignment="1">
      <alignment horizontal="center"/>
    </xf>
    <xf numFmtId="0" fontId="129" fillId="0" borderId="69" xfId="99" applyFont="1" applyBorder="1" applyAlignment="1">
      <alignment horizontal="center"/>
    </xf>
    <xf numFmtId="3" fontId="129" fillId="0" borderId="70" xfId="98" applyNumberFormat="1" applyFont="1" applyFill="1" applyBorder="1" applyAlignment="1">
      <alignment horizontal="right"/>
    </xf>
    <xf numFmtId="3" fontId="129" fillId="0" borderId="77" xfId="98" applyNumberFormat="1" applyFont="1" applyFill="1" applyBorder="1" applyAlignment="1">
      <alignment horizontal="right"/>
    </xf>
    <xf numFmtId="3" fontId="129" fillId="0" borderId="78" xfId="98" applyNumberFormat="1" applyFont="1" applyFill="1" applyBorder="1" applyAlignment="1">
      <alignment horizontal="right"/>
    </xf>
    <xf numFmtId="3" fontId="129" fillId="0" borderId="78" xfId="98" applyNumberFormat="1" applyFont="1" applyFill="1" applyBorder="1" applyAlignment="1"/>
    <xf numFmtId="3" fontId="128" fillId="0" borderId="78" xfId="98" applyNumberFormat="1" applyFont="1" applyFill="1" applyBorder="1" applyAlignment="1">
      <alignment horizontal="right"/>
    </xf>
    <xf numFmtId="3" fontId="192" fillId="0" borderId="0" xfId="0" applyNumberFormat="1" applyFont="1" applyFill="1" applyBorder="1"/>
    <xf numFmtId="3" fontId="73" fillId="0" borderId="0" xfId="0" applyNumberFormat="1" applyFont="1" applyFill="1" applyBorder="1"/>
    <xf numFmtId="0" fontId="40" fillId="0" borderId="0" xfId="0" applyFont="1"/>
    <xf numFmtId="4" fontId="67" fillId="0" borderId="34" xfId="0" applyNumberFormat="1" applyFont="1" applyFill="1" applyBorder="1" applyProtection="1"/>
    <xf numFmtId="3" fontId="63" fillId="0" borderId="66" xfId="0" applyNumberFormat="1" applyFont="1" applyFill="1" applyBorder="1" applyAlignment="1">
      <alignment horizontal="left"/>
    </xf>
    <xf numFmtId="3" fontId="18" fillId="0" borderId="47" xfId="0" applyNumberFormat="1" applyFont="1" applyFill="1" applyBorder="1"/>
    <xf numFmtId="4" fontId="67" fillId="0" borderId="114" xfId="0" applyNumberFormat="1" applyFont="1" applyFill="1" applyBorder="1" applyProtection="1"/>
    <xf numFmtId="0" fontId="67" fillId="0" borderId="38" xfId="0" applyFont="1" applyFill="1" applyBorder="1"/>
    <xf numFmtId="4" fontId="67" fillId="0" borderId="86" xfId="0" applyNumberFormat="1" applyFont="1" applyFill="1" applyBorder="1" applyAlignment="1">
      <alignment horizontal="right"/>
    </xf>
    <xf numFmtId="4" fontId="67" fillId="0" borderId="87" xfId="0" applyNumberFormat="1" applyFont="1" applyFill="1" applyBorder="1" applyAlignment="1">
      <alignment horizontal="right"/>
    </xf>
    <xf numFmtId="3" fontId="63" fillId="0" borderId="46" xfId="0" applyNumberFormat="1" applyFont="1" applyFill="1" applyBorder="1"/>
    <xf numFmtId="3" fontId="79" fillId="0" borderId="96" xfId="0" applyNumberFormat="1" applyFont="1" applyFill="1" applyBorder="1" applyAlignment="1"/>
    <xf numFmtId="0" fontId="81" fillId="0" borderId="20" xfId="0" applyFont="1" applyFill="1" applyBorder="1" applyProtection="1"/>
    <xf numFmtId="0" fontId="81" fillId="0" borderId="19" xfId="0" applyFont="1" applyFill="1" applyBorder="1" applyProtection="1"/>
    <xf numFmtId="3" fontId="81" fillId="0" borderId="96" xfId="0" applyNumberFormat="1" applyFont="1" applyFill="1" applyBorder="1" applyAlignment="1">
      <alignment horizontal="left"/>
    </xf>
    <xf numFmtId="3" fontId="81" fillId="0" borderId="20" xfId="0" applyNumberFormat="1" applyFont="1" applyFill="1" applyBorder="1" applyAlignment="1">
      <alignment horizontal="left"/>
    </xf>
    <xf numFmtId="0" fontId="15" fillId="0" borderId="0" xfId="91" applyFont="1"/>
    <xf numFmtId="0" fontId="4" fillId="0" borderId="0" xfId="111" applyFont="1" applyBorder="1"/>
    <xf numFmtId="0" fontId="4" fillId="0" borderId="0" xfId="111" applyFont="1" applyAlignment="1">
      <alignment horizontal="center"/>
    </xf>
    <xf numFmtId="0" fontId="4" fillId="0" borderId="0" xfId="111" applyFont="1" applyFill="1" applyBorder="1"/>
    <xf numFmtId="0" fontId="4" fillId="0" borderId="0" xfId="111" applyFont="1"/>
    <xf numFmtId="0" fontId="4" fillId="0" borderId="0" xfId="111" applyFont="1" applyFill="1" applyBorder="1" applyAlignment="1">
      <alignment horizontal="right"/>
    </xf>
    <xf numFmtId="3" fontId="67" fillId="0" borderId="84" xfId="112" applyNumberFormat="1" applyFont="1" applyFill="1" applyBorder="1" applyAlignment="1">
      <alignment horizontal="right"/>
    </xf>
    <xf numFmtId="3" fontId="67" fillId="0" borderId="69" xfId="111" applyNumberFormat="1" applyFont="1" applyFill="1" applyBorder="1" applyAlignment="1">
      <alignment horizontal="right"/>
    </xf>
    <xf numFmtId="3" fontId="67" fillId="0" borderId="119" xfId="111" applyNumberFormat="1" applyFont="1" applyFill="1" applyBorder="1" applyAlignment="1">
      <alignment horizontal="right"/>
    </xf>
    <xf numFmtId="3" fontId="67" fillId="0" borderId="77" xfId="111" applyNumberFormat="1" applyFont="1" applyFill="1" applyBorder="1" applyAlignment="1">
      <alignment horizontal="right"/>
    </xf>
    <xf numFmtId="3" fontId="63" fillId="34" borderId="78" xfId="111" applyNumberFormat="1" applyFont="1" applyFill="1" applyBorder="1" applyAlignment="1">
      <alignment horizontal="right"/>
    </xf>
    <xf numFmtId="0" fontId="3" fillId="0" borderId="0" xfId="111" applyFont="1" applyBorder="1"/>
    <xf numFmtId="3" fontId="67" fillId="0" borderId="84" xfId="111" applyNumberFormat="1" applyFont="1" applyFill="1" applyBorder="1" applyAlignment="1">
      <alignment horizontal="right"/>
    </xf>
    <xf numFmtId="3" fontId="63" fillId="0" borderId="84" xfId="111" applyNumberFormat="1" applyFont="1" applyFill="1" applyBorder="1" applyAlignment="1">
      <alignment horizontal="right"/>
    </xf>
    <xf numFmtId="3" fontId="63" fillId="0" borderId="69" xfId="111" applyNumberFormat="1" applyFont="1" applyFill="1" applyBorder="1" applyAlignment="1">
      <alignment horizontal="right"/>
    </xf>
    <xf numFmtId="3" fontId="81" fillId="34" borderId="119" xfId="111" applyNumberFormat="1" applyFont="1" applyFill="1" applyBorder="1" applyAlignment="1">
      <alignment horizontal="right"/>
    </xf>
    <xf numFmtId="3" fontId="67" fillId="0" borderId="79" xfId="111" applyNumberFormat="1" applyFont="1" applyFill="1" applyBorder="1" applyAlignment="1">
      <alignment horizontal="right"/>
    </xf>
    <xf numFmtId="3" fontId="67" fillId="0" borderId="91" xfId="111" applyNumberFormat="1" applyFont="1" applyFill="1" applyBorder="1" applyAlignment="1">
      <alignment horizontal="right"/>
    </xf>
    <xf numFmtId="3" fontId="81" fillId="34" borderId="79" xfId="111" applyNumberFormat="1" applyFont="1" applyFill="1" applyBorder="1" applyAlignment="1">
      <alignment horizontal="right"/>
    </xf>
    <xf numFmtId="3" fontId="140" fillId="36" borderId="78" xfId="111" applyNumberFormat="1" applyFont="1" applyFill="1" applyBorder="1" applyAlignment="1">
      <alignment horizontal="right"/>
    </xf>
    <xf numFmtId="0" fontId="63" fillId="35" borderId="19" xfId="111" applyFont="1" applyFill="1" applyBorder="1" applyAlignment="1">
      <alignment horizontal="justify"/>
    </xf>
    <xf numFmtId="3" fontId="63" fillId="36" borderId="78" xfId="111" applyNumberFormat="1" applyFont="1" applyFill="1" applyBorder="1" applyAlignment="1">
      <alignment horizontal="right"/>
    </xf>
    <xf numFmtId="3" fontId="140" fillId="35" borderId="78" xfId="111" applyNumberFormat="1" applyFont="1" applyFill="1" applyBorder="1" applyAlignment="1">
      <alignment horizontal="right"/>
    </xf>
    <xf numFmtId="0" fontId="4" fillId="0" borderId="0" xfId="111" applyFont="1" applyAlignment="1">
      <alignment wrapText="1"/>
    </xf>
    <xf numFmtId="3" fontId="4" fillId="0" borderId="0" xfId="111" applyNumberFormat="1" applyFont="1" applyFill="1" applyBorder="1"/>
    <xf numFmtId="3" fontId="4" fillId="0" borderId="0" xfId="111" applyNumberFormat="1" applyFont="1" applyBorder="1"/>
    <xf numFmtId="0" fontId="18" fillId="0" borderId="23" xfId="111" applyFont="1" applyBorder="1" applyAlignment="1">
      <alignment horizontal="center"/>
    </xf>
    <xf numFmtId="0" fontId="18" fillId="0" borderId="84" xfId="111" applyFont="1" applyBorder="1" applyAlignment="1">
      <alignment horizontal="center"/>
    </xf>
    <xf numFmtId="0" fontId="40" fillId="0" borderId="18" xfId="111" applyFont="1" applyBorder="1"/>
    <xf numFmtId="3" fontId="18" fillId="0" borderId="69" xfId="112" applyNumberFormat="1" applyFont="1" applyFill="1" applyBorder="1" applyAlignment="1">
      <alignment horizontal="center"/>
    </xf>
    <xf numFmtId="3" fontId="18" fillId="0" borderId="69" xfId="112" applyNumberFormat="1" applyFont="1" applyBorder="1" applyAlignment="1">
      <alignment horizontal="center"/>
    </xf>
    <xf numFmtId="0" fontId="40" fillId="0" borderId="19" xfId="111" applyFont="1" applyBorder="1"/>
    <xf numFmtId="14" fontId="18" fillId="0" borderId="70" xfId="112" applyNumberFormat="1" applyFont="1" applyFill="1" applyBorder="1" applyAlignment="1">
      <alignment horizontal="center"/>
    </xf>
    <xf numFmtId="0" fontId="40" fillId="0" borderId="17" xfId="111" applyFont="1" applyFill="1" applyBorder="1" applyAlignment="1">
      <alignment horizontal="justify"/>
    </xf>
    <xf numFmtId="0" fontId="40" fillId="0" borderId="101" xfId="111" applyFont="1" applyFill="1" applyBorder="1" applyAlignment="1">
      <alignment horizontal="left"/>
    </xf>
    <xf numFmtId="0" fontId="40" fillId="0" borderId="101" xfId="111" applyFont="1" applyFill="1" applyBorder="1" applyAlignment="1">
      <alignment horizontal="justify"/>
    </xf>
    <xf numFmtId="0" fontId="195" fillId="0" borderId="101" xfId="111" applyFont="1" applyFill="1" applyBorder="1" applyAlignment="1">
      <alignment horizontal="justify"/>
    </xf>
    <xf numFmtId="0" fontId="40" fillId="0" borderId="26" xfId="111" applyFont="1" applyFill="1" applyBorder="1" applyAlignment="1">
      <alignment horizontal="justify"/>
    </xf>
    <xf numFmtId="0" fontId="40" fillId="0" borderId="57" xfId="111" applyFont="1" applyFill="1" applyBorder="1" applyAlignment="1">
      <alignment horizontal="justify"/>
    </xf>
    <xf numFmtId="0" fontId="195" fillId="0" borderId="26" xfId="111" applyFont="1" applyBorder="1" applyAlignment="1">
      <alignment horizontal="justify"/>
    </xf>
    <xf numFmtId="0" fontId="40" fillId="0" borderId="79" xfId="111" applyNumberFormat="1" applyFont="1" applyFill="1" applyBorder="1" applyAlignment="1">
      <alignment wrapText="1"/>
    </xf>
    <xf numFmtId="0" fontId="4" fillId="0" borderId="0" xfId="111" applyFont="1" applyBorder="1" applyAlignment="1"/>
    <xf numFmtId="0" fontId="195" fillId="0" borderId="101" xfId="111" applyFont="1" applyFill="1" applyBorder="1" applyAlignment="1">
      <alignment wrapText="1"/>
    </xf>
    <xf numFmtId="0" fontId="67" fillId="0" borderId="0" xfId="111" applyFont="1" applyFill="1" applyBorder="1" applyAlignment="1">
      <alignment horizontal="right"/>
    </xf>
    <xf numFmtId="3" fontId="63" fillId="34" borderId="79" xfId="111" applyNumberFormat="1" applyFont="1" applyFill="1" applyBorder="1" applyAlignment="1">
      <alignment horizontal="right"/>
    </xf>
    <xf numFmtId="0" fontId="40" fillId="0" borderId="79" xfId="111" applyFont="1" applyFill="1" applyBorder="1" applyAlignment="1">
      <alignment horizontal="justify"/>
    </xf>
    <xf numFmtId="0" fontId="63" fillId="34" borderId="18" xfId="111" applyFont="1" applyFill="1" applyBorder="1" applyAlignment="1">
      <alignment horizontal="justify"/>
    </xf>
    <xf numFmtId="0" fontId="63" fillId="34" borderId="101" xfId="111" applyFont="1" applyFill="1" applyBorder="1" applyAlignment="1">
      <alignment horizontal="justify"/>
    </xf>
    <xf numFmtId="0" fontId="63" fillId="34" borderId="26" xfId="111" applyFont="1" applyFill="1" applyBorder="1" applyAlignment="1">
      <alignment horizontal="justify"/>
    </xf>
    <xf numFmtId="0" fontId="63" fillId="34" borderId="79" xfId="111" applyFont="1" applyFill="1" applyBorder="1" applyAlignment="1">
      <alignment horizontal="justify"/>
    </xf>
    <xf numFmtId="0" fontId="140" fillId="35" borderId="20" xfId="111" applyFont="1" applyFill="1" applyBorder="1" applyAlignment="1">
      <alignment horizontal="justify"/>
    </xf>
    <xf numFmtId="0" fontId="63" fillId="34" borderId="20" xfId="111" applyFont="1" applyFill="1" applyBorder="1" applyAlignment="1">
      <alignment horizontal="justify"/>
    </xf>
    <xf numFmtId="0" fontId="140" fillId="0" borderId="84" xfId="111" applyFont="1" applyBorder="1" applyAlignment="1">
      <alignment horizontal="justify"/>
    </xf>
    <xf numFmtId="0" fontId="140" fillId="0" borderId="69" xfId="111" applyFont="1" applyFill="1" applyBorder="1" applyAlignment="1">
      <alignment horizontal="justify"/>
    </xf>
    <xf numFmtId="0" fontId="140" fillId="0" borderId="26" xfId="111" applyFont="1" applyFill="1" applyBorder="1" applyAlignment="1">
      <alignment horizontal="justify"/>
    </xf>
    <xf numFmtId="0" fontId="63" fillId="0" borderId="26" xfId="111" applyFont="1" applyFill="1" applyBorder="1" applyAlignment="1">
      <alignment horizontal="justify"/>
    </xf>
    <xf numFmtId="0" fontId="140" fillId="0" borderId="23" xfId="111" applyFont="1" applyBorder="1" applyAlignment="1">
      <alignment horizontal="justify"/>
    </xf>
    <xf numFmtId="0" fontId="140" fillId="0" borderId="18" xfId="111" applyFont="1" applyBorder="1"/>
    <xf numFmtId="3" fontId="18" fillId="0" borderId="87" xfId="112" applyNumberFormat="1" applyFont="1" applyBorder="1" applyAlignment="1">
      <alignment horizontal="center"/>
    </xf>
    <xf numFmtId="3" fontId="67" fillId="0" borderId="69" xfId="112" applyNumberFormat="1" applyFont="1" applyFill="1" applyBorder="1" applyAlignment="1">
      <alignment horizontal="right"/>
    </xf>
    <xf numFmtId="3" fontId="67" fillId="0" borderId="69" xfId="112" applyNumberFormat="1" applyFont="1" applyBorder="1" applyAlignment="1">
      <alignment horizontal="right"/>
    </xf>
    <xf numFmtId="3" fontId="18" fillId="0" borderId="53" xfId="112" applyNumberFormat="1" applyFont="1" applyBorder="1" applyAlignment="1">
      <alignment horizontal="center"/>
    </xf>
    <xf numFmtId="3" fontId="18" fillId="0" borderId="84" xfId="112" applyNumberFormat="1" applyFont="1" applyBorder="1" applyAlignment="1">
      <alignment horizontal="center"/>
    </xf>
    <xf numFmtId="3" fontId="18" fillId="0" borderId="85" xfId="112" applyNumberFormat="1" applyFont="1" applyBorder="1" applyAlignment="1">
      <alignment horizontal="center"/>
    </xf>
    <xf numFmtId="3" fontId="18" fillId="0" borderId="84" xfId="112" applyNumberFormat="1" applyFont="1" applyFill="1" applyBorder="1" applyAlignment="1">
      <alignment horizontal="center"/>
    </xf>
    <xf numFmtId="3" fontId="18" fillId="0" borderId="70" xfId="112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3" fontId="67" fillId="0" borderId="40" xfId="0" applyNumberFormat="1" applyFont="1" applyFill="1" applyBorder="1" applyAlignment="1">
      <alignment horizontal="left" wrapText="1"/>
    </xf>
    <xf numFmtId="3" fontId="67" fillId="0" borderId="37" xfId="0" applyNumberFormat="1" applyFont="1" applyFill="1" applyBorder="1" applyAlignment="1">
      <alignment horizontal="left" wrapText="1"/>
    </xf>
    <xf numFmtId="3" fontId="67" fillId="0" borderId="39" xfId="0" applyNumberFormat="1" applyFont="1" applyFill="1" applyBorder="1" applyAlignment="1">
      <alignment horizontal="left" wrapText="1"/>
    </xf>
    <xf numFmtId="3" fontId="63" fillId="0" borderId="0" xfId="0" applyNumberFormat="1" applyFont="1" applyFill="1" applyAlignment="1">
      <alignment horizontal="center"/>
    </xf>
    <xf numFmtId="0" fontId="63" fillId="28" borderId="45" xfId="0" applyFont="1" applyFill="1" applyBorder="1" applyAlignment="1">
      <alignment horizontal="center"/>
    </xf>
    <xf numFmtId="0" fontId="67" fillId="0" borderId="37" xfId="0" applyFont="1" applyFill="1" applyBorder="1" applyAlignment="1" applyProtection="1">
      <alignment horizontal="left" wrapText="1"/>
    </xf>
    <xf numFmtId="0" fontId="80" fillId="0" borderId="37" xfId="0" applyFont="1" applyBorder="1" applyAlignment="1">
      <alignment wrapText="1"/>
    </xf>
    <xf numFmtId="0" fontId="80" fillId="0" borderId="80" xfId="0" applyFont="1" applyBorder="1" applyAlignment="1">
      <alignment wrapText="1"/>
    </xf>
    <xf numFmtId="0" fontId="67" fillId="0" borderId="37" xfId="0" applyFont="1" applyFill="1" applyBorder="1" applyAlignment="1" applyProtection="1"/>
    <xf numFmtId="0" fontId="80" fillId="0" borderId="37" xfId="0" applyFont="1" applyBorder="1" applyAlignment="1"/>
    <xf numFmtId="0" fontId="80" fillId="0" borderId="80" xfId="0" applyFont="1" applyBorder="1" applyAlignment="1"/>
    <xf numFmtId="0" fontId="67" fillId="0" borderId="50" xfId="0" applyFont="1" applyFill="1" applyBorder="1" applyAlignment="1" applyProtection="1"/>
    <xf numFmtId="0" fontId="80" fillId="0" borderId="50" xfId="0" applyFont="1" applyBorder="1" applyAlignment="1"/>
    <xf numFmtId="0" fontId="80" fillId="0" borderId="86" xfId="0" applyFont="1" applyBorder="1" applyAlignment="1"/>
    <xf numFmtId="0" fontId="67" fillId="0" borderId="37" xfId="78" applyFont="1" applyFill="1" applyBorder="1" applyAlignment="1">
      <alignment horizontal="left"/>
    </xf>
    <xf numFmtId="0" fontId="67" fillId="0" borderId="37" xfId="0" applyFont="1" applyFill="1" applyBorder="1" applyAlignment="1">
      <alignment horizontal="left"/>
    </xf>
    <xf numFmtId="0" fontId="67" fillId="0" borderId="37" xfId="0" applyFont="1" applyFill="1" applyBorder="1" applyAlignment="1">
      <alignment horizontal="left" wrapText="1"/>
    </xf>
    <xf numFmtId="0" fontId="63" fillId="0" borderId="0" xfId="78" applyFont="1" applyFill="1" applyBorder="1" applyAlignment="1">
      <alignment horizontal="center" wrapText="1"/>
    </xf>
    <xf numFmtId="0" fontId="63" fillId="0" borderId="87" xfId="78" applyFont="1" applyFill="1" applyBorder="1" applyAlignment="1">
      <alignment horizontal="center" wrapText="1"/>
    </xf>
    <xf numFmtId="0" fontId="67" fillId="0" borderId="37" xfId="78" applyFont="1" applyFill="1" applyBorder="1" applyAlignment="1">
      <alignment horizontal="left" wrapText="1"/>
    </xf>
    <xf numFmtId="0" fontId="67" fillId="0" borderId="66" xfId="78" applyFont="1" applyFill="1" applyBorder="1" applyAlignment="1">
      <alignment horizontal="left" wrapText="1"/>
    </xf>
    <xf numFmtId="0" fontId="80" fillId="0" borderId="66" xfId="0" applyFont="1" applyBorder="1" applyAlignment="1">
      <alignment wrapText="1"/>
    </xf>
    <xf numFmtId="0" fontId="80" fillId="0" borderId="75" xfId="0" applyFont="1" applyBorder="1" applyAlignment="1">
      <alignment wrapText="1"/>
    </xf>
    <xf numFmtId="0" fontId="18" fillId="0" borderId="0" xfId="0" applyFont="1" applyFill="1" applyAlignment="1">
      <alignment horizontal="center"/>
    </xf>
    <xf numFmtId="0" fontId="79" fillId="0" borderId="0" xfId="0" applyFont="1" applyFill="1" applyBorder="1" applyAlignment="1" applyProtection="1">
      <alignment wrapText="1"/>
    </xf>
    <xf numFmtId="0" fontId="80" fillId="0" borderId="0" xfId="0" applyFont="1" applyBorder="1" applyAlignment="1"/>
    <xf numFmtId="0" fontId="80" fillId="0" borderId="87" xfId="0" applyFont="1" applyBorder="1" applyAlignment="1"/>
    <xf numFmtId="0" fontId="67" fillId="0" borderId="80" xfId="78" applyFont="1" applyFill="1" applyBorder="1" applyAlignment="1">
      <alignment horizontal="left" wrapText="1"/>
    </xf>
    <xf numFmtId="0" fontId="121" fillId="0" borderId="0" xfId="0" applyFont="1" applyFill="1" applyAlignment="1">
      <alignment horizontal="center"/>
    </xf>
    <xf numFmtId="0" fontId="63" fillId="28" borderId="129" xfId="0" applyFont="1" applyFill="1" applyBorder="1" applyAlignment="1">
      <alignment horizontal="center"/>
    </xf>
    <xf numFmtId="0" fontId="63" fillId="28" borderId="130" xfId="0" applyFont="1" applyFill="1" applyBorder="1" applyAlignment="1">
      <alignment horizontal="center"/>
    </xf>
    <xf numFmtId="0" fontId="67" fillId="0" borderId="80" xfId="0" applyFont="1" applyFill="1" applyBorder="1" applyAlignment="1" applyProtection="1">
      <alignment horizontal="left" wrapText="1"/>
    </xf>
    <xf numFmtId="0" fontId="79" fillId="0" borderId="46" xfId="0" applyFont="1" applyFill="1" applyBorder="1" applyAlignment="1" applyProtection="1">
      <alignment horizontal="left" wrapText="1"/>
    </xf>
    <xf numFmtId="0" fontId="79" fillId="0" borderId="53" xfId="0" applyFont="1" applyFill="1" applyBorder="1" applyAlignment="1" applyProtection="1">
      <alignment horizontal="left" wrapText="1"/>
    </xf>
    <xf numFmtId="3" fontId="139" fillId="0" borderId="37" xfId="0" applyNumberFormat="1" applyFont="1" applyFill="1" applyBorder="1" applyAlignment="1" applyProtection="1">
      <alignment horizontal="left" wrapText="1"/>
    </xf>
    <xf numFmtId="3" fontId="139" fillId="0" borderId="80" xfId="0" applyNumberFormat="1" applyFont="1" applyFill="1" applyBorder="1" applyAlignment="1" applyProtection="1">
      <alignment horizontal="left" wrapText="1"/>
    </xf>
    <xf numFmtId="3" fontId="149" fillId="0" borderId="23" xfId="76" applyNumberFormat="1" applyFont="1" applyFill="1" applyBorder="1" applyAlignment="1">
      <alignment horizontal="center" vertical="center"/>
    </xf>
    <xf numFmtId="3" fontId="149" fillId="0" borderId="46" xfId="76" applyNumberFormat="1" applyFont="1" applyFill="1" applyBorder="1" applyAlignment="1">
      <alignment horizontal="center" vertical="center"/>
    </xf>
    <xf numFmtId="3" fontId="149" fillId="0" borderId="53" xfId="76" applyNumberFormat="1" applyFont="1" applyFill="1" applyBorder="1" applyAlignment="1">
      <alignment horizontal="center" vertical="center"/>
    </xf>
    <xf numFmtId="3" fontId="149" fillId="0" borderId="19" xfId="76" applyNumberFormat="1" applyFont="1" applyFill="1" applyBorder="1" applyAlignment="1">
      <alignment horizontal="center" vertical="center"/>
    </xf>
    <xf numFmtId="3" fontId="149" fillId="0" borderId="16" xfId="76" applyNumberFormat="1" applyFont="1" applyFill="1" applyBorder="1" applyAlignment="1">
      <alignment horizontal="center" vertical="center"/>
    </xf>
    <xf numFmtId="3" fontId="149" fillId="0" borderId="85" xfId="76" applyNumberFormat="1" applyFont="1" applyFill="1" applyBorder="1" applyAlignment="1">
      <alignment horizontal="center" vertical="center"/>
    </xf>
    <xf numFmtId="3" fontId="149" fillId="0" borderId="20" xfId="76" applyNumberFormat="1" applyFont="1" applyFill="1" applyBorder="1" applyAlignment="1">
      <alignment horizontal="center" vertical="center"/>
    </xf>
    <xf numFmtId="3" fontId="149" fillId="0" borderId="96" xfId="76" applyNumberFormat="1" applyFont="1" applyFill="1" applyBorder="1" applyAlignment="1">
      <alignment horizontal="center" vertical="center"/>
    </xf>
    <xf numFmtId="3" fontId="149" fillId="0" borderId="82" xfId="76" applyNumberFormat="1" applyFont="1" applyFill="1" applyBorder="1" applyAlignment="1">
      <alignment horizontal="center" vertical="center"/>
    </xf>
    <xf numFmtId="3" fontId="149" fillId="0" borderId="23" xfId="76" applyNumberFormat="1" applyFont="1" applyFill="1" applyBorder="1" applyAlignment="1">
      <alignment horizontal="center" vertical="center" wrapText="1"/>
    </xf>
    <xf numFmtId="3" fontId="149" fillId="0" borderId="46" xfId="76" applyNumberFormat="1" applyFont="1" applyFill="1" applyBorder="1" applyAlignment="1">
      <alignment horizontal="center" vertical="center" wrapText="1"/>
    </xf>
    <xf numFmtId="3" fontId="149" fillId="0" borderId="53" xfId="76" applyNumberFormat="1" applyFont="1" applyFill="1" applyBorder="1" applyAlignment="1">
      <alignment horizontal="center" vertical="center" wrapText="1"/>
    </xf>
    <xf numFmtId="3" fontId="149" fillId="0" borderId="19" xfId="76" applyNumberFormat="1" applyFont="1" applyFill="1" applyBorder="1" applyAlignment="1">
      <alignment horizontal="center" vertical="center" wrapText="1"/>
    </xf>
    <xf numFmtId="3" fontId="149" fillId="0" borderId="16" xfId="76" applyNumberFormat="1" applyFont="1" applyFill="1" applyBorder="1" applyAlignment="1">
      <alignment horizontal="center" vertical="center" wrapText="1"/>
    </xf>
    <xf numFmtId="3" fontId="149" fillId="0" borderId="85" xfId="76" applyNumberFormat="1" applyFont="1" applyFill="1" applyBorder="1" applyAlignment="1">
      <alignment horizontal="center" vertical="center" wrapText="1"/>
    </xf>
    <xf numFmtId="3" fontId="148" fillId="0" borderId="0" xfId="76" applyNumberFormat="1" applyFont="1" applyFill="1" applyAlignment="1">
      <alignment horizontal="center"/>
    </xf>
    <xf numFmtId="0" fontId="148" fillId="0" borderId="0" xfId="76" applyFont="1" applyAlignment="1">
      <alignment horizontal="center"/>
    </xf>
    <xf numFmtId="3" fontId="148" fillId="0" borderId="0" xfId="76" applyNumberFormat="1" applyFont="1" applyFill="1" applyBorder="1" applyAlignment="1">
      <alignment horizontal="center"/>
    </xf>
    <xf numFmtId="0" fontId="63" fillId="0" borderId="0" xfId="111" applyFont="1" applyAlignment="1">
      <alignment horizontal="center"/>
    </xf>
    <xf numFmtId="3" fontId="149" fillId="0" borderId="18" xfId="76" applyNumberFormat="1" applyFont="1" applyFill="1" applyBorder="1" applyAlignment="1">
      <alignment horizontal="center" vertical="center"/>
    </xf>
    <xf numFmtId="3" fontId="149" fillId="0" borderId="0" xfId="76" applyNumberFormat="1" applyFont="1" applyFill="1" applyBorder="1" applyAlignment="1">
      <alignment horizontal="center" vertical="center"/>
    </xf>
    <xf numFmtId="3" fontId="149" fillId="0" borderId="87" xfId="76" applyNumberFormat="1" applyFont="1" applyFill="1" applyBorder="1" applyAlignment="1">
      <alignment horizontal="center" vertical="center"/>
    </xf>
    <xf numFmtId="3" fontId="149" fillId="0" borderId="18" xfId="76" applyNumberFormat="1" applyFont="1" applyFill="1" applyBorder="1" applyAlignment="1">
      <alignment horizontal="center" vertical="center" wrapText="1"/>
    </xf>
    <xf numFmtId="3" fontId="149" fillId="0" borderId="0" xfId="76" applyNumberFormat="1" applyFont="1" applyFill="1" applyBorder="1" applyAlignment="1">
      <alignment horizontal="center" vertical="center" wrapText="1"/>
    </xf>
    <xf numFmtId="3" fontId="149" fillId="0" borderId="87" xfId="76" applyNumberFormat="1" applyFont="1" applyFill="1" applyBorder="1" applyAlignment="1">
      <alignment horizontal="center" vertical="center" wrapText="1"/>
    </xf>
    <xf numFmtId="3" fontId="165" fillId="0" borderId="0" xfId="76" applyNumberFormat="1" applyFont="1" applyFill="1" applyBorder="1" applyAlignment="1">
      <alignment horizontal="center"/>
    </xf>
    <xf numFmtId="0" fontId="155" fillId="0" borderId="0" xfId="106" applyFont="1" applyAlignment="1">
      <alignment horizontal="center"/>
    </xf>
    <xf numFmtId="0" fontId="155" fillId="0" borderId="0" xfId="106" applyFont="1" applyBorder="1" applyAlignment="1">
      <alignment horizontal="center"/>
    </xf>
    <xf numFmtId="0" fontId="121" fillId="0" borderId="16" xfId="106" applyFont="1" applyBorder="1" applyAlignment="1">
      <alignment horizontal="center"/>
    </xf>
    <xf numFmtId="0" fontId="158" fillId="28" borderId="20" xfId="106" applyFont="1" applyFill="1" applyBorder="1" applyAlignment="1">
      <alignment horizontal="center" vertical="center" wrapText="1"/>
    </xf>
    <xf numFmtId="0" fontId="158" fillId="28" borderId="96" xfId="106" applyFont="1" applyFill="1" applyBorder="1" applyAlignment="1">
      <alignment horizontal="center" vertical="center" wrapText="1"/>
    </xf>
    <xf numFmtId="0" fontId="158" fillId="28" borderId="82" xfId="106" applyFont="1" applyFill="1" applyBorder="1" applyAlignment="1">
      <alignment horizontal="center" vertical="center" wrapText="1"/>
    </xf>
    <xf numFmtId="0" fontId="158" fillId="0" borderId="23" xfId="106" applyFont="1" applyBorder="1" applyAlignment="1">
      <alignment horizontal="center" vertical="center" wrapText="1"/>
    </xf>
    <xf numFmtId="0" fontId="158" fillId="0" borderId="53" xfId="106" applyFont="1" applyBorder="1" applyAlignment="1">
      <alignment horizontal="center" vertical="center" wrapText="1"/>
    </xf>
    <xf numFmtId="0" fontId="158" fillId="0" borderId="19" xfId="106" applyFont="1" applyBorder="1" applyAlignment="1">
      <alignment horizontal="center" vertical="center" wrapText="1"/>
    </xf>
    <xf numFmtId="0" fontId="158" fillId="0" borderId="85" xfId="106" applyFont="1" applyBorder="1" applyAlignment="1">
      <alignment horizontal="center" vertical="center" wrapText="1"/>
    </xf>
    <xf numFmtId="4" fontId="158" fillId="0" borderId="16" xfId="106" applyNumberFormat="1" applyFont="1" applyBorder="1" applyAlignment="1">
      <alignment horizontal="center"/>
    </xf>
    <xf numFmtId="4" fontId="158" fillId="0" borderId="85" xfId="106" applyNumberFormat="1" applyFont="1" applyBorder="1" applyAlignment="1">
      <alignment horizontal="center"/>
    </xf>
    <xf numFmtId="4" fontId="158" fillId="0" borderId="96" xfId="106" applyNumberFormat="1" applyFont="1" applyBorder="1" applyAlignment="1">
      <alignment horizontal="center"/>
    </xf>
    <xf numFmtId="4" fontId="158" fillId="0" borderId="82" xfId="106" applyNumberFormat="1" applyFont="1" applyBorder="1" applyAlignment="1">
      <alignment horizontal="center"/>
    </xf>
    <xf numFmtId="4" fontId="158" fillId="0" borderId="23" xfId="106" applyNumberFormat="1" applyFont="1" applyBorder="1" applyAlignment="1">
      <alignment horizontal="center"/>
    </xf>
    <xf numFmtId="4" fontId="158" fillId="0" borderId="53" xfId="106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76" fillId="28" borderId="131" xfId="0" applyFont="1" applyFill="1" applyBorder="1" applyAlignment="1">
      <alignment horizontal="center"/>
    </xf>
    <xf numFmtId="0" fontId="176" fillId="28" borderId="132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41" fillId="28" borderId="46" xfId="0" applyFont="1" applyFill="1" applyBorder="1" applyAlignment="1">
      <alignment horizontal="center"/>
    </xf>
    <xf numFmtId="0" fontId="18" fillId="28" borderId="46" xfId="0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63" fillId="0" borderId="0" xfId="0" applyNumberFormat="1" applyFont="1" applyAlignment="1">
      <alignment horizontal="center"/>
    </xf>
    <xf numFmtId="3" fontId="80" fillId="0" borderId="0" xfId="0" applyNumberFormat="1" applyFont="1" applyAlignment="1"/>
    <xf numFmtId="0" fontId="3" fillId="28" borderId="46" xfId="0" applyFont="1" applyFill="1" applyBorder="1" applyAlignment="1">
      <alignment horizontal="center"/>
    </xf>
    <xf numFmtId="0" fontId="3" fillId="28" borderId="47" xfId="0" applyFont="1" applyFill="1" applyBorder="1" applyAlignment="1">
      <alignment horizontal="center"/>
    </xf>
    <xf numFmtId="0" fontId="3" fillId="28" borderId="63" xfId="0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141" fillId="28" borderId="23" xfId="0" applyFont="1" applyFill="1" applyBorder="1" applyAlignment="1">
      <alignment horizontal="center"/>
    </xf>
    <xf numFmtId="0" fontId="141" fillId="28" borderId="53" xfId="0" applyFont="1" applyFill="1" applyBorder="1" applyAlignment="1">
      <alignment horizontal="center"/>
    </xf>
    <xf numFmtId="0" fontId="193" fillId="0" borderId="0" xfId="0" applyFont="1" applyAlignment="1">
      <alignment horizontal="center"/>
    </xf>
    <xf numFmtId="0" fontId="141" fillId="28" borderId="129" xfId="0" applyFont="1" applyFill="1" applyBorder="1" applyAlignment="1">
      <alignment horizontal="center"/>
    </xf>
    <xf numFmtId="0" fontId="141" fillId="28" borderId="130" xfId="0" applyFont="1" applyFill="1" applyBorder="1" applyAlignment="1">
      <alignment horizontal="center"/>
    </xf>
    <xf numFmtId="0" fontId="3" fillId="0" borderId="17" xfId="0" applyFont="1" applyFill="1" applyBorder="1" applyAlignment="1" applyProtection="1">
      <alignment horizontal="left"/>
    </xf>
    <xf numFmtId="0" fontId="3" fillId="0" borderId="22" xfId="0" applyFont="1" applyFill="1" applyBorder="1" applyAlignment="1" applyProtection="1">
      <alignment horizontal="left"/>
    </xf>
    <xf numFmtId="0" fontId="3" fillId="0" borderId="8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/>
    </xf>
    <xf numFmtId="0" fontId="3" fillId="0" borderId="102" xfId="0" applyFont="1" applyFill="1" applyBorder="1" applyAlignment="1" applyProtection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28" borderId="131" xfId="0" applyFont="1" applyFill="1" applyBorder="1" applyAlignment="1">
      <alignment horizontal="center"/>
    </xf>
    <xf numFmtId="0" fontId="3" fillId="28" borderId="132" xfId="0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4" fillId="0" borderId="40" xfId="0" applyFont="1" applyFill="1" applyBorder="1" applyAlignment="1"/>
    <xf numFmtId="0" fontId="0" fillId="0" borderId="37" xfId="0" applyBorder="1" applyAlignment="1"/>
    <xf numFmtId="0" fontId="0" fillId="0" borderId="39" xfId="0" applyBorder="1" applyAlignment="1"/>
    <xf numFmtId="0" fontId="3" fillId="0" borderId="17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63" fillId="0" borderId="0" xfId="0" applyFont="1" applyAlignment="1" applyProtection="1">
      <alignment horizontal="center"/>
    </xf>
    <xf numFmtId="0" fontId="63" fillId="0" borderId="0" xfId="78" applyFont="1" applyFill="1" applyAlignment="1">
      <alignment horizontal="center"/>
    </xf>
    <xf numFmtId="0" fontId="80" fillId="0" borderId="0" xfId="0" applyFont="1" applyAlignment="1"/>
    <xf numFmtId="0" fontId="3" fillId="0" borderId="26" xfId="78" applyFont="1" applyFill="1" applyBorder="1" applyAlignment="1">
      <alignment horizontal="left"/>
    </xf>
    <xf numFmtId="0" fontId="3" fillId="0" borderId="90" xfId="78" applyFont="1" applyFill="1" applyBorder="1" applyAlignment="1">
      <alignment horizontal="left"/>
    </xf>
    <xf numFmtId="0" fontId="3" fillId="28" borderId="129" xfId="0" applyFont="1" applyFill="1" applyBorder="1" applyAlignment="1">
      <alignment horizontal="center"/>
    </xf>
    <xf numFmtId="0" fontId="3" fillId="28" borderId="130" xfId="0" applyFont="1" applyFill="1" applyBorder="1" applyAlignment="1">
      <alignment horizontal="center"/>
    </xf>
    <xf numFmtId="0" fontId="3" fillId="0" borderId="0" xfId="78" applyFont="1" applyFill="1" applyBorder="1" applyAlignment="1">
      <alignment horizontal="center"/>
    </xf>
    <xf numFmtId="0" fontId="3" fillId="28" borderId="0" xfId="0" applyFont="1" applyFill="1" applyBorder="1" applyAlignment="1">
      <alignment horizontal="center"/>
    </xf>
    <xf numFmtId="0" fontId="3" fillId="0" borderId="17" xfId="78" applyFont="1" applyFill="1" applyBorder="1" applyAlignment="1">
      <alignment horizontal="left"/>
    </xf>
    <xf numFmtId="0" fontId="3" fillId="0" borderId="81" xfId="78" applyFont="1" applyFill="1" applyBorder="1" applyAlignment="1">
      <alignment horizontal="left"/>
    </xf>
    <xf numFmtId="0" fontId="18" fillId="0" borderId="0" xfId="78" applyFont="1" applyAlignment="1">
      <alignment horizontal="center"/>
    </xf>
    <xf numFmtId="0" fontId="63" fillId="0" borderId="0" xfId="78" applyFont="1" applyAlignment="1">
      <alignment horizontal="center"/>
    </xf>
    <xf numFmtId="0" fontId="18" fillId="0" borderId="23" xfId="78" applyFont="1" applyBorder="1" applyAlignment="1">
      <alignment horizontal="center"/>
    </xf>
    <xf numFmtId="0" fontId="18" fillId="0" borderId="46" xfId="78" applyFont="1" applyBorder="1" applyAlignment="1">
      <alignment horizontal="center"/>
    </xf>
    <xf numFmtId="0" fontId="18" fillId="28" borderId="47" xfId="0" applyFont="1" applyFill="1" applyBorder="1" applyAlignment="1">
      <alignment horizontal="center"/>
    </xf>
    <xf numFmtId="0" fontId="18" fillId="28" borderId="63" xfId="0" applyFont="1" applyFill="1" applyBorder="1" applyAlignment="1">
      <alignment horizontal="center"/>
    </xf>
    <xf numFmtId="0" fontId="85" fillId="0" borderId="0" xfId="0" applyFont="1" applyAlignment="1">
      <alignment horizontal="center"/>
    </xf>
    <xf numFmtId="0" fontId="10" fillId="0" borderId="0" xfId="79" applyFont="1" applyAlignment="1">
      <alignment horizontal="center"/>
    </xf>
    <xf numFmtId="0" fontId="41" fillId="0" borderId="0" xfId="78" applyFont="1" applyFill="1" applyAlignment="1">
      <alignment horizontal="center"/>
    </xf>
    <xf numFmtId="0" fontId="14" fillId="0" borderId="0" xfId="78" applyFont="1" applyFill="1" applyAlignment="1">
      <alignment horizontal="center"/>
    </xf>
    <xf numFmtId="0" fontId="20" fillId="0" borderId="0" xfId="90" applyFont="1" applyAlignment="1">
      <alignment horizontal="center"/>
    </xf>
    <xf numFmtId="0" fontId="85" fillId="0" borderId="0" xfId="90" applyFont="1" applyAlignment="1">
      <alignment horizontal="center"/>
    </xf>
    <xf numFmtId="0" fontId="82" fillId="0" borderId="0" xfId="90" applyFont="1" applyBorder="1" applyAlignment="1">
      <alignment horizontal="center"/>
    </xf>
    <xf numFmtId="0" fontId="3" fillId="0" borderId="23" xfId="78" applyFont="1" applyFill="1" applyBorder="1" applyAlignment="1">
      <alignment horizontal="center"/>
    </xf>
    <xf numFmtId="0" fontId="3" fillId="0" borderId="46" xfId="78" applyFont="1" applyFill="1" applyBorder="1" applyAlignment="1">
      <alignment horizontal="center"/>
    </xf>
    <xf numFmtId="0" fontId="93" fillId="0" borderId="20" xfId="91" applyFont="1" applyBorder="1" applyAlignment="1">
      <alignment wrapText="1"/>
    </xf>
    <xf numFmtId="0" fontId="92" fillId="0" borderId="82" xfId="0" applyFont="1" applyBorder="1" applyAlignment="1">
      <alignment wrapText="1"/>
    </xf>
    <xf numFmtId="0" fontId="82" fillId="0" borderId="0" xfId="0" applyFont="1" applyAlignment="1">
      <alignment horizontal="center"/>
    </xf>
    <xf numFmtId="0" fontId="20" fillId="0" borderId="0" xfId="91" applyFont="1" applyBorder="1" applyAlignment="1">
      <alignment horizontal="center"/>
    </xf>
    <xf numFmtId="0" fontId="92" fillId="0" borderId="0" xfId="0" applyFont="1" applyAlignment="1"/>
    <xf numFmtId="0" fontId="20" fillId="0" borderId="23" xfId="91" applyFont="1" applyBorder="1" applyAlignment="1">
      <alignment horizontal="center"/>
    </xf>
    <xf numFmtId="0" fontId="92" fillId="0" borderId="53" xfId="0" applyFont="1" applyBorder="1" applyAlignment="1">
      <alignment horizontal="center"/>
    </xf>
    <xf numFmtId="0" fontId="20" fillId="0" borderId="17" xfId="91" applyFont="1" applyBorder="1" applyAlignment="1">
      <alignment wrapText="1"/>
    </xf>
    <xf numFmtId="0" fontId="92" fillId="0" borderId="81" xfId="0" applyFont="1" applyBorder="1" applyAlignment="1"/>
    <xf numFmtId="0" fontId="7" fillId="0" borderId="18" xfId="91" applyFont="1" applyBorder="1" applyAlignment="1">
      <alignment wrapText="1"/>
    </xf>
    <xf numFmtId="0" fontId="92" fillId="0" borderId="87" xfId="0" applyFont="1" applyBorder="1" applyAlignment="1">
      <alignment wrapText="1"/>
    </xf>
    <xf numFmtId="0" fontId="93" fillId="0" borderId="18" xfId="91" applyFont="1" applyBorder="1" applyAlignment="1">
      <alignment wrapText="1"/>
    </xf>
    <xf numFmtId="0" fontId="15" fillId="0" borderId="26" xfId="91" applyFont="1" applyBorder="1" applyAlignment="1">
      <alignment wrapText="1"/>
    </xf>
    <xf numFmtId="0" fontId="0" fillId="0" borderId="90" xfId="0" applyBorder="1" applyAlignment="1"/>
    <xf numFmtId="0" fontId="0" fillId="0" borderId="87" xfId="0" applyBorder="1" applyAlignment="1">
      <alignment wrapText="1"/>
    </xf>
    <xf numFmtId="0" fontId="92" fillId="0" borderId="90" xfId="0" applyFont="1" applyBorder="1" applyAlignment="1"/>
    <xf numFmtId="0" fontId="0" fillId="0" borderId="90" xfId="0" applyBorder="1" applyAlignment="1">
      <alignment wrapText="1"/>
    </xf>
    <xf numFmtId="0" fontId="98" fillId="0" borderId="26" xfId="91" applyFont="1" applyBorder="1" applyAlignment="1">
      <alignment wrapText="1"/>
    </xf>
    <xf numFmtId="0" fontId="97" fillId="0" borderId="90" xfId="0" applyFont="1" applyBorder="1" applyAlignment="1"/>
    <xf numFmtId="0" fontId="99" fillId="0" borderId="20" xfId="91" applyFont="1" applyBorder="1" applyAlignment="1">
      <alignment wrapText="1"/>
    </xf>
    <xf numFmtId="0" fontId="97" fillId="0" borderId="82" xfId="0" applyFont="1" applyBorder="1" applyAlignment="1">
      <alignment wrapText="1"/>
    </xf>
    <xf numFmtId="0" fontId="94" fillId="0" borderId="0" xfId="0" applyFont="1" applyAlignment="1">
      <alignment horizontal="center"/>
    </xf>
    <xf numFmtId="0" fontId="96" fillId="0" borderId="0" xfId="91" applyFont="1" applyBorder="1" applyAlignment="1">
      <alignment horizontal="center"/>
    </xf>
    <xf numFmtId="0" fontId="96" fillId="0" borderId="23" xfId="91" applyFont="1" applyBorder="1" applyAlignment="1">
      <alignment horizontal="center"/>
    </xf>
    <xf numFmtId="0" fontId="97" fillId="0" borderId="53" xfId="0" applyFont="1" applyBorder="1" applyAlignment="1">
      <alignment horizontal="center"/>
    </xf>
    <xf numFmtId="0" fontId="100" fillId="0" borderId="16" xfId="92" applyFont="1" applyBorder="1" applyAlignment="1">
      <alignment horizontal="center"/>
    </xf>
    <xf numFmtId="0" fontId="18" fillId="0" borderId="0" xfId="92" applyFont="1" applyAlignment="1">
      <alignment horizontal="center"/>
    </xf>
    <xf numFmtId="0" fontId="4" fillId="0" borderId="0" xfId="92" applyFont="1" applyAlignment="1">
      <alignment horizontal="center"/>
    </xf>
    <xf numFmtId="0" fontId="100" fillId="0" borderId="0" xfId="92" applyFont="1" applyAlignment="1">
      <alignment horizontal="center"/>
    </xf>
    <xf numFmtId="0" fontId="103" fillId="0" borderId="0" xfId="93" applyFont="1" applyAlignment="1">
      <alignment horizontal="center"/>
    </xf>
    <xf numFmtId="0" fontId="82" fillId="0" borderId="18" xfId="93" applyFont="1" applyBorder="1" applyAlignment="1">
      <alignment horizontal="center"/>
    </xf>
    <xf numFmtId="0" fontId="82" fillId="0" borderId="0" xfId="93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87" xfId="0" applyFont="1" applyBorder="1" applyAlignment="1">
      <alignment horizontal="center"/>
    </xf>
    <xf numFmtId="0" fontId="105" fillId="0" borderId="24" xfId="93" applyFont="1" applyFill="1" applyBorder="1" applyAlignment="1">
      <alignment wrapText="1"/>
    </xf>
    <xf numFmtId="0" fontId="43" fillId="0" borderId="24" xfId="0" applyFont="1" applyFill="1" applyBorder="1" applyAlignment="1"/>
    <xf numFmtId="0" fontId="43" fillId="0" borderId="138" xfId="0" applyFont="1" applyFill="1" applyBorder="1" applyAlignment="1"/>
    <xf numFmtId="0" fontId="3" fillId="0" borderId="0" xfId="94" applyFont="1" applyBorder="1" applyAlignment="1">
      <alignment horizontal="center"/>
    </xf>
    <xf numFmtId="0" fontId="10" fillId="0" borderId="0" xfId="94" applyFont="1" applyBorder="1" applyAlignment="1">
      <alignment horizontal="left"/>
    </xf>
    <xf numFmtId="0" fontId="2" fillId="0" borderId="23" xfId="94" applyBorder="1" applyAlignment="1">
      <alignment horizontal="center" vertical="center"/>
    </xf>
    <xf numFmtId="0" fontId="2" fillId="0" borderId="63" xfId="94" applyBorder="1" applyAlignment="1">
      <alignment horizontal="center" vertical="center"/>
    </xf>
    <xf numFmtId="0" fontId="2" fillId="0" borderId="18" xfId="94" applyBorder="1" applyAlignment="1">
      <alignment horizontal="center" vertical="center"/>
    </xf>
    <xf numFmtId="0" fontId="2" fillId="0" borderId="31" xfId="94" applyBorder="1" applyAlignment="1">
      <alignment horizontal="center" vertical="center"/>
    </xf>
    <xf numFmtId="0" fontId="2" fillId="0" borderId="19" xfId="94" applyBorder="1" applyAlignment="1">
      <alignment horizontal="center" vertical="center"/>
    </xf>
    <xf numFmtId="0" fontId="2" fillId="0" borderId="102" xfId="94" applyBorder="1" applyAlignment="1">
      <alignment horizontal="center" vertical="center"/>
    </xf>
    <xf numFmtId="0" fontId="2" fillId="0" borderId="47" xfId="94" applyBorder="1" applyAlignment="1">
      <alignment horizontal="center" vertical="center"/>
    </xf>
    <xf numFmtId="0" fontId="2" fillId="0" borderId="29" xfId="94" applyBorder="1" applyAlignment="1">
      <alignment horizontal="center" vertical="center"/>
    </xf>
    <xf numFmtId="0" fontId="2" fillId="0" borderId="33" xfId="94" applyBorder="1" applyAlignment="1">
      <alignment horizontal="center" vertical="center"/>
    </xf>
    <xf numFmtId="0" fontId="2" fillId="0" borderId="131" xfId="94" applyBorder="1" applyAlignment="1">
      <alignment horizontal="center"/>
    </xf>
    <xf numFmtId="0" fontId="2" fillId="0" borderId="134" xfId="94" applyBorder="1" applyAlignment="1">
      <alignment horizontal="center"/>
    </xf>
    <xf numFmtId="0" fontId="2" fillId="0" borderId="130" xfId="94" applyBorder="1" applyAlignment="1">
      <alignment horizontal="center"/>
    </xf>
    <xf numFmtId="0" fontId="2" fillId="0" borderId="49" xfId="94" applyBorder="1" applyAlignment="1">
      <alignment horizontal="center"/>
    </xf>
    <xf numFmtId="0" fontId="2" fillId="0" borderId="24" xfId="94" applyBorder="1" applyAlignment="1">
      <alignment horizontal="center"/>
    </xf>
    <xf numFmtId="0" fontId="2" fillId="0" borderId="138" xfId="94" applyBorder="1" applyAlignment="1">
      <alignment horizontal="center"/>
    </xf>
    <xf numFmtId="0" fontId="2" fillId="0" borderId="90" xfId="94" applyBorder="1" applyAlignment="1">
      <alignment horizontal="center"/>
    </xf>
    <xf numFmtId="0" fontId="2" fillId="0" borderId="55" xfId="94" applyBorder="1" applyAlignment="1">
      <alignment horizontal="center" vertical="center"/>
    </xf>
    <xf numFmtId="0" fontId="2" fillId="0" borderId="104" xfId="94" applyBorder="1" applyAlignment="1">
      <alignment horizontal="center" vertical="center"/>
    </xf>
    <xf numFmtId="0" fontId="2" fillId="0" borderId="83" xfId="94" applyBorder="1" applyAlignment="1">
      <alignment horizontal="center" vertical="center"/>
    </xf>
    <xf numFmtId="0" fontId="2" fillId="0" borderId="73" xfId="94" applyBorder="1" applyAlignment="1">
      <alignment horizontal="center" vertical="center"/>
    </xf>
    <xf numFmtId="0" fontId="2" fillId="0" borderId="94" xfId="94" applyBorder="1" applyAlignment="1">
      <alignment horizontal="center" vertical="center"/>
    </xf>
    <xf numFmtId="0" fontId="2" fillId="0" borderId="139" xfId="94" applyBorder="1" applyAlignment="1">
      <alignment horizontal="center" vertical="center"/>
    </xf>
    <xf numFmtId="0" fontId="2" fillId="0" borderId="83" xfId="94" applyBorder="1" applyAlignment="1">
      <alignment horizontal="center"/>
    </xf>
    <xf numFmtId="0" fontId="2" fillId="0" borderId="73" xfId="94" applyBorder="1" applyAlignment="1">
      <alignment horizontal="center"/>
    </xf>
    <xf numFmtId="0" fontId="2" fillId="0" borderId="124" xfId="94" applyBorder="1" applyAlignment="1">
      <alignment horizontal="center" vertical="center"/>
    </xf>
    <xf numFmtId="0" fontId="2" fillId="0" borderId="103" xfId="94" applyBorder="1" applyAlignment="1">
      <alignment horizontal="center" vertical="center"/>
    </xf>
    <xf numFmtId="0" fontId="2" fillId="0" borderId="94" xfId="94" applyBorder="1" applyAlignment="1">
      <alignment horizontal="center"/>
    </xf>
    <xf numFmtId="0" fontId="2" fillId="0" borderId="139" xfId="94" applyBorder="1" applyAlignment="1">
      <alignment horizontal="center"/>
    </xf>
    <xf numFmtId="49" fontId="2" fillId="0" borderId="101" xfId="94" applyNumberFormat="1" applyBorder="1" applyAlignment="1">
      <alignment horizontal="center"/>
    </xf>
    <xf numFmtId="49" fontId="2" fillId="0" borderId="139" xfId="94" applyNumberFormat="1" applyBorder="1" applyAlignment="1">
      <alignment horizontal="center"/>
    </xf>
    <xf numFmtId="0" fontId="2" fillId="0" borderId="93" xfId="94" applyBorder="1" applyAlignment="1">
      <alignment horizontal="left"/>
    </xf>
    <xf numFmtId="0" fontId="2" fillId="0" borderId="139" xfId="94" applyBorder="1" applyAlignment="1">
      <alignment horizontal="left"/>
    </xf>
    <xf numFmtId="49" fontId="2" fillId="0" borderId="26" xfId="94" applyNumberFormat="1" applyBorder="1" applyAlignment="1">
      <alignment horizontal="center"/>
    </xf>
    <xf numFmtId="49" fontId="2" fillId="0" borderId="138" xfId="94" applyNumberFormat="1" applyBorder="1" applyAlignment="1">
      <alignment horizontal="center"/>
    </xf>
    <xf numFmtId="0" fontId="2" fillId="0" borderId="24" xfId="94" applyBorder="1" applyAlignment="1">
      <alignment horizontal="left"/>
    </xf>
    <xf numFmtId="0" fontId="2" fillId="0" borderId="138" xfId="94" applyBorder="1" applyAlignment="1">
      <alignment horizontal="left"/>
    </xf>
    <xf numFmtId="49" fontId="2" fillId="0" borderId="17" xfId="94" applyNumberFormat="1" applyBorder="1" applyAlignment="1">
      <alignment horizontal="center"/>
    </xf>
    <xf numFmtId="49" fontId="2" fillId="0" borderId="88" xfId="94" applyNumberFormat="1" applyBorder="1" applyAlignment="1">
      <alignment horizontal="center"/>
    </xf>
    <xf numFmtId="0" fontId="2" fillId="0" borderId="22" xfId="94" applyFont="1" applyBorder="1" applyAlignment="1">
      <alignment horizontal="left"/>
    </xf>
    <xf numFmtId="0" fontId="2" fillId="0" borderId="88" xfId="94" applyBorder="1" applyAlignment="1">
      <alignment horizontal="left"/>
    </xf>
    <xf numFmtId="49" fontId="2" fillId="0" borderId="26" xfId="94" applyNumberFormat="1" applyFont="1" applyBorder="1" applyAlignment="1">
      <alignment horizontal="center"/>
    </xf>
    <xf numFmtId="49" fontId="2" fillId="0" borderId="129" xfId="94" applyNumberFormat="1" applyFont="1" applyBorder="1" applyAlignment="1">
      <alignment horizontal="center"/>
    </xf>
    <xf numFmtId="49" fontId="2" fillId="0" borderId="132" xfId="94" applyNumberFormat="1" applyBorder="1" applyAlignment="1">
      <alignment horizontal="center"/>
    </xf>
    <xf numFmtId="49" fontId="2" fillId="0" borderId="101" xfId="94" applyNumberFormat="1" applyFont="1" applyBorder="1" applyAlignment="1">
      <alignment horizontal="center"/>
    </xf>
    <xf numFmtId="49" fontId="2" fillId="0" borderId="57" xfId="94" applyNumberFormat="1" applyFont="1" applyBorder="1" applyAlignment="1">
      <alignment horizontal="center"/>
    </xf>
    <xf numFmtId="49" fontId="2" fillId="0" borderId="73" xfId="94" applyNumberFormat="1" applyBorder="1" applyAlignment="1">
      <alignment horizontal="center"/>
    </xf>
    <xf numFmtId="49" fontId="2" fillId="0" borderId="108" xfId="94" applyNumberFormat="1" applyBorder="1" applyAlignment="1">
      <alignment horizontal="center"/>
    </xf>
    <xf numFmtId="49" fontId="2" fillId="0" borderId="93" xfId="94" applyNumberFormat="1" applyBorder="1" applyAlignment="1">
      <alignment horizontal="center"/>
    </xf>
    <xf numFmtId="0" fontId="2" fillId="0" borderId="19" xfId="94" applyBorder="1" applyAlignment="1">
      <alignment horizontal="center"/>
    </xf>
    <xf numFmtId="0" fontId="2" fillId="0" borderId="16" xfId="94" applyBorder="1" applyAlignment="1">
      <alignment horizontal="center"/>
    </xf>
    <xf numFmtId="0" fontId="39" fillId="0" borderId="37" xfId="0" applyFont="1" applyBorder="1" applyAlignment="1">
      <alignment wrapText="1"/>
    </xf>
    <xf numFmtId="3" fontId="39" fillId="0" borderId="16" xfId="95" applyNumberFormat="1" applyFont="1" applyBorder="1" applyAlignment="1">
      <alignment wrapText="1"/>
    </xf>
    <xf numFmtId="0" fontId="1" fillId="0" borderId="102" xfId="0" applyFont="1" applyBorder="1" applyAlignment="1"/>
    <xf numFmtId="3" fontId="103" fillId="0" borderId="0" xfId="95" applyNumberFormat="1" applyFont="1" applyAlignment="1">
      <alignment horizontal="center"/>
    </xf>
    <xf numFmtId="3" fontId="82" fillId="0" borderId="20" xfId="95" applyNumberFormat="1" applyFont="1" applyBorder="1" applyAlignment="1">
      <alignment horizontal="center"/>
    </xf>
    <xf numFmtId="3" fontId="82" fillId="0" borderId="96" xfId="95" applyNumberFormat="1" applyFont="1" applyBorder="1" applyAlignment="1">
      <alignment horizontal="center"/>
    </xf>
    <xf numFmtId="3" fontId="82" fillId="0" borderId="82" xfId="95" applyNumberFormat="1" applyFont="1" applyBorder="1" applyAlignment="1">
      <alignment horizontal="center"/>
    </xf>
    <xf numFmtId="3" fontId="39" fillId="0" borderId="0" xfId="95" applyNumberFormat="1" applyFont="1" applyFill="1" applyBorder="1" applyAlignment="1">
      <alignment wrapText="1"/>
    </xf>
    <xf numFmtId="0" fontId="0" fillId="0" borderId="31" xfId="0" applyBorder="1" applyAlignment="1"/>
    <xf numFmtId="3" fontId="39" fillId="0" borderId="37" xfId="95" applyNumberFormat="1" applyFont="1" applyBorder="1" applyAlignment="1">
      <alignment wrapText="1"/>
    </xf>
    <xf numFmtId="0" fontId="1" fillId="0" borderId="37" xfId="0" applyFont="1" applyBorder="1" applyAlignment="1"/>
    <xf numFmtId="0" fontId="128" fillId="0" borderId="84" xfId="100" applyFont="1" applyFill="1" applyBorder="1" applyAlignment="1" applyProtection="1">
      <alignment horizontal="justify" vertical="top"/>
    </xf>
    <xf numFmtId="0" fontId="128" fillId="0" borderId="69" xfId="0" applyFont="1" applyFill="1" applyBorder="1" applyAlignment="1">
      <alignment horizontal="justify" vertical="top"/>
    </xf>
    <xf numFmtId="0" fontId="128" fillId="0" borderId="70" xfId="0" applyFont="1" applyFill="1" applyBorder="1" applyAlignment="1">
      <alignment horizontal="justify" vertical="top"/>
    </xf>
    <xf numFmtId="0" fontId="128" fillId="0" borderId="23" xfId="97" applyFont="1" applyFill="1" applyBorder="1" applyAlignment="1" applyProtection="1">
      <alignment horizontal="left" vertical="top" wrapText="1"/>
    </xf>
    <xf numFmtId="0" fontId="128" fillId="0" borderId="18" xfId="0" applyFont="1" applyFill="1" applyBorder="1" applyAlignment="1">
      <alignment horizontal="left" vertical="top" wrapText="1"/>
    </xf>
    <xf numFmtId="0" fontId="128" fillId="0" borderId="84" xfId="97" applyFont="1" applyFill="1" applyBorder="1" applyAlignment="1" applyProtection="1">
      <alignment horizontal="left" vertical="top" wrapText="1"/>
    </xf>
    <xf numFmtId="0" fontId="128" fillId="0" borderId="69" xfId="0" applyFont="1" applyFill="1" applyBorder="1" applyAlignment="1">
      <alignment horizontal="left" vertical="top" wrapText="1"/>
    </xf>
    <xf numFmtId="0" fontId="128" fillId="0" borderId="70" xfId="0" applyFont="1" applyFill="1" applyBorder="1" applyAlignment="1">
      <alignment horizontal="left" vertical="top" wrapText="1"/>
    </xf>
    <xf numFmtId="0" fontId="128" fillId="0" borderId="84" xfId="0" applyFont="1" applyFill="1" applyBorder="1" applyAlignment="1">
      <alignment horizontal="justify" vertical="top"/>
    </xf>
    <xf numFmtId="0" fontId="128" fillId="0" borderId="69" xfId="100" applyFont="1" applyFill="1" applyBorder="1" applyAlignment="1" applyProtection="1">
      <alignment horizontal="justify" vertical="top"/>
    </xf>
    <xf numFmtId="0" fontId="128" fillId="0" borderId="23" xfId="100" applyFont="1" applyFill="1" applyBorder="1" applyAlignment="1" applyProtection="1">
      <alignment horizontal="justify" vertical="top"/>
    </xf>
    <xf numFmtId="0" fontId="128" fillId="0" borderId="18" xfId="100" applyFont="1" applyFill="1" applyBorder="1" applyAlignment="1" applyProtection="1">
      <alignment horizontal="justify" vertical="top"/>
    </xf>
    <xf numFmtId="0" fontId="128" fillId="0" borderId="19" xfId="0" applyFont="1" applyFill="1" applyBorder="1" applyAlignment="1">
      <alignment horizontal="justify" vertical="top"/>
    </xf>
    <xf numFmtId="0" fontId="128" fillId="0" borderId="84" xfId="100" applyFont="1" applyFill="1" applyBorder="1" applyAlignment="1" applyProtection="1">
      <alignment vertical="top"/>
    </xf>
    <xf numFmtId="0" fontId="128" fillId="0" borderId="69" xfId="0" applyFont="1" applyBorder="1" applyAlignment="1">
      <alignment vertical="top"/>
    </xf>
    <xf numFmtId="0" fontId="128" fillId="0" borderId="70" xfId="0" applyFont="1" applyBorder="1" applyAlignment="1">
      <alignment vertical="top"/>
    </xf>
    <xf numFmtId="0" fontId="128" fillId="0" borderId="69" xfId="0" applyFont="1" applyFill="1" applyBorder="1" applyAlignment="1">
      <alignment vertical="top"/>
    </xf>
    <xf numFmtId="0" fontId="128" fillId="0" borderId="23" xfId="100" applyFont="1" applyFill="1" applyBorder="1" applyAlignment="1" applyProtection="1">
      <alignment vertical="top"/>
    </xf>
    <xf numFmtId="0" fontId="128" fillId="0" borderId="18" xfId="0" applyFont="1" applyFill="1" applyBorder="1" applyAlignment="1">
      <alignment vertical="top"/>
    </xf>
    <xf numFmtId="0" fontId="128" fillId="0" borderId="19" xfId="0" applyFont="1" applyFill="1" applyBorder="1" applyAlignment="1">
      <alignment vertical="top"/>
    </xf>
    <xf numFmtId="0" fontId="128" fillId="0" borderId="70" xfId="0" applyFont="1" applyFill="1" applyBorder="1" applyAlignment="1">
      <alignment vertical="top"/>
    </xf>
    <xf numFmtId="0" fontId="128" fillId="0" borderId="18" xfId="100" applyFont="1" applyFill="1" applyBorder="1" applyAlignment="1" applyProtection="1">
      <alignment vertical="top"/>
    </xf>
    <xf numFmtId="0" fontId="128" fillId="0" borderId="84" xfId="0" applyFont="1" applyFill="1" applyBorder="1" applyAlignment="1">
      <alignment vertical="top" wrapText="1"/>
    </xf>
    <xf numFmtId="0" fontId="128" fillId="0" borderId="69" xfId="0" applyFont="1" applyFill="1" applyBorder="1" applyAlignment="1">
      <alignment vertical="top" wrapText="1"/>
    </xf>
    <xf numFmtId="0" fontId="128" fillId="0" borderId="70" xfId="0" applyFont="1" applyFill="1" applyBorder="1" applyAlignment="1">
      <alignment vertical="top" wrapText="1"/>
    </xf>
    <xf numFmtId="0" fontId="128" fillId="0" borderId="18" xfId="0" applyFont="1" applyFill="1" applyBorder="1" applyAlignment="1">
      <alignment horizontal="justify" vertical="top"/>
    </xf>
    <xf numFmtId="0" fontId="128" fillId="0" borderId="84" xfId="100" applyFont="1" applyFill="1" applyBorder="1" applyAlignment="1" applyProtection="1">
      <alignment horizontal="justify" vertical="top" wrapText="1"/>
    </xf>
    <xf numFmtId="0" fontId="128" fillId="0" borderId="69" xfId="0" applyFont="1" applyFill="1" applyBorder="1" applyAlignment="1">
      <alignment horizontal="justify" vertical="top" wrapText="1"/>
    </xf>
    <xf numFmtId="0" fontId="128" fillId="0" borderId="70" xfId="0" applyFont="1" applyFill="1" applyBorder="1" applyAlignment="1">
      <alignment horizontal="justify" vertical="top" wrapText="1"/>
    </xf>
    <xf numFmtId="0" fontId="128" fillId="0" borderId="18" xfId="100" applyFont="1" applyFill="1" applyBorder="1" applyAlignment="1" applyProtection="1">
      <alignment horizontal="justify" vertical="top" wrapText="1"/>
    </xf>
    <xf numFmtId="0" fontId="128" fillId="0" borderId="19" xfId="0" applyFont="1" applyFill="1" applyBorder="1" applyAlignment="1">
      <alignment horizontal="justify" vertical="top" wrapText="1"/>
    </xf>
    <xf numFmtId="0" fontId="190" fillId="0" borderId="0" xfId="97" applyFont="1" applyFill="1" applyAlignment="1">
      <alignment horizontal="center"/>
    </xf>
    <xf numFmtId="0" fontId="191" fillId="0" borderId="0" xfId="0" applyFont="1" applyAlignment="1">
      <alignment horizontal="center"/>
    </xf>
    <xf numFmtId="3" fontId="181" fillId="0" borderId="23" xfId="98" applyNumberFormat="1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181" fillId="0" borderId="23" xfId="0" applyFont="1" applyFill="1" applyBorder="1" applyAlignment="1">
      <alignment vertical="top"/>
    </xf>
    <xf numFmtId="0" fontId="0" fillId="0" borderId="19" xfId="0" applyFill="1" applyBorder="1" applyAlignment="1">
      <alignment vertical="top"/>
    </xf>
    <xf numFmtId="0" fontId="181" fillId="0" borderId="23" xfId="0" applyFont="1" applyFill="1" applyBorder="1" applyAlignment="1">
      <alignment horizontal="right" vertical="top"/>
    </xf>
    <xf numFmtId="0" fontId="0" fillId="0" borderId="18" xfId="0" applyFill="1" applyBorder="1" applyAlignment="1">
      <alignment horizontal="right" vertical="top"/>
    </xf>
    <xf numFmtId="0" fontId="0" fillId="0" borderId="19" xfId="0" applyFill="1" applyBorder="1" applyAlignment="1">
      <alignment horizontal="right" vertical="top"/>
    </xf>
    <xf numFmtId="0" fontId="181" fillId="0" borderId="84" xfId="97" applyFont="1" applyFill="1" applyBorder="1" applyAlignment="1" applyProtection="1">
      <alignment horizontal="left" vertical="top" wrapText="1"/>
    </xf>
    <xf numFmtId="0" fontId="181" fillId="0" borderId="69" xfId="97" applyFont="1" applyFill="1" applyBorder="1" applyAlignment="1" applyProtection="1">
      <alignment horizontal="left" vertical="top" wrapText="1"/>
    </xf>
    <xf numFmtId="0" fontId="181" fillId="0" borderId="23" xfId="100" applyFont="1" applyFill="1" applyBorder="1" applyAlignment="1" applyProtection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0" fillId="0" borderId="19" xfId="0" applyFill="1" applyBorder="1" applyAlignment="1">
      <alignment horizontal="justify" vertical="top" wrapText="1"/>
    </xf>
    <xf numFmtId="0" fontId="181" fillId="0" borderId="84" xfId="100" applyFont="1" applyFill="1" applyBorder="1" applyAlignment="1" applyProtection="1">
      <alignment horizontal="justify" vertical="top"/>
    </xf>
    <xf numFmtId="0" fontId="0" fillId="0" borderId="70" xfId="0" applyFill="1" applyBorder="1" applyAlignment="1">
      <alignment horizontal="justify" vertical="top"/>
    </xf>
    <xf numFmtId="0" fontId="181" fillId="0" borderId="70" xfId="100" applyFont="1" applyFill="1" applyBorder="1" applyAlignment="1" applyProtection="1">
      <alignment horizontal="justify" vertical="top"/>
    </xf>
    <xf numFmtId="0" fontId="0" fillId="0" borderId="69" xfId="0" applyFill="1" applyBorder="1" applyAlignment="1">
      <alignment horizontal="justify" vertical="top"/>
    </xf>
    <xf numFmtId="0" fontId="181" fillId="0" borderId="18" xfId="100" applyFont="1" applyFill="1" applyBorder="1" applyAlignment="1" applyProtection="1">
      <alignment horizontal="justify" vertical="top" wrapText="1"/>
    </xf>
    <xf numFmtId="0" fontId="118" fillId="0" borderId="0" xfId="97" applyFont="1" applyFill="1" applyAlignment="1">
      <alignment horizontal="center"/>
    </xf>
    <xf numFmtId="0" fontId="181" fillId="0" borderId="129" xfId="100" applyFont="1" applyFill="1" applyBorder="1" applyAlignment="1" applyProtection="1">
      <alignment horizontal="left" vertical="top"/>
    </xf>
    <xf numFmtId="0" fontId="181" fillId="0" borderId="26" xfId="100" applyFont="1" applyFill="1" applyBorder="1" applyAlignment="1" applyProtection="1">
      <alignment horizontal="left" vertical="top"/>
    </xf>
    <xf numFmtId="0" fontId="181" fillId="0" borderId="57" xfId="100" applyFont="1" applyFill="1" applyBorder="1" applyAlignment="1" applyProtection="1">
      <alignment vertical="top"/>
    </xf>
    <xf numFmtId="0" fontId="0" fillId="0" borderId="101" xfId="0" applyFill="1" applyBorder="1" applyAlignment="1">
      <alignment vertical="top"/>
    </xf>
    <xf numFmtId="0" fontId="181" fillId="0" borderId="84" xfId="0" applyFont="1" applyFill="1" applyBorder="1" applyAlignment="1">
      <alignment horizontal="left" vertical="top"/>
    </xf>
    <xf numFmtId="0" fontId="0" fillId="0" borderId="69" xfId="0" applyFill="1" applyBorder="1" applyAlignment="1">
      <alignment horizontal="left" vertical="top"/>
    </xf>
    <xf numFmtId="0" fontId="0" fillId="0" borderId="70" xfId="0" applyFill="1" applyBorder="1" applyAlignment="1">
      <alignment horizontal="left" vertical="top"/>
    </xf>
    <xf numFmtId="0" fontId="181" fillId="0" borderId="84" xfId="100" applyFont="1" applyFill="1" applyBorder="1" applyAlignment="1" applyProtection="1">
      <alignment horizontal="justify" vertical="top" wrapText="1"/>
    </xf>
    <xf numFmtId="0" fontId="0" fillId="0" borderId="69" xfId="0" applyFill="1" applyBorder="1" applyAlignment="1">
      <alignment horizontal="justify" vertical="top" wrapText="1"/>
    </xf>
    <xf numFmtId="0" fontId="0" fillId="0" borderId="70" xfId="0" applyFill="1" applyBorder="1" applyAlignment="1">
      <alignment horizontal="justify" vertical="top" wrapText="1"/>
    </xf>
    <xf numFmtId="0" fontId="18" fillId="0" borderId="0" xfId="102" applyFont="1" applyAlignment="1">
      <alignment horizontal="center"/>
    </xf>
    <xf numFmtId="0" fontId="18" fillId="0" borderId="0" xfId="103" applyFont="1" applyAlignment="1">
      <alignment horizontal="center"/>
    </xf>
    <xf numFmtId="0" fontId="43" fillId="0" borderId="0" xfId="0" applyFont="1" applyAlignment="1"/>
    <xf numFmtId="0" fontId="14" fillId="0" borderId="131" xfId="101" applyFont="1" applyBorder="1" applyAlignment="1">
      <alignment horizontal="center"/>
    </xf>
    <xf numFmtId="0" fontId="86" fillId="0" borderId="134" xfId="101" applyFont="1" applyBorder="1" applyAlignment="1">
      <alignment horizontal="center"/>
    </xf>
    <xf numFmtId="0" fontId="86" fillId="0" borderId="130" xfId="101" applyFont="1" applyBorder="1" applyAlignment="1">
      <alignment horizontal="center"/>
    </xf>
    <xf numFmtId="0" fontId="86" fillId="0" borderId="26" xfId="101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138" xfId="0" applyBorder="1" applyAlignment="1">
      <alignment wrapText="1"/>
    </xf>
  </cellXfs>
  <cellStyles count="11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110" builtinId="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 builtinId="26" customBuiltin="1"/>
    <cellStyle name="Kimenet" xfId="70" builtinId="21" customBuiltin="1"/>
    <cellStyle name="Linked Cell" xfId="71"/>
    <cellStyle name="Magyarázó szöveg" xfId="72" builtinId="53" customBuiltin="1"/>
    <cellStyle name="Neutral" xfId="73"/>
    <cellStyle name="Normál" xfId="0" builtinId="0"/>
    <cellStyle name="Normal 2" xfId="74"/>
    <cellStyle name="Normál 2" xfId="75"/>
    <cellStyle name="Normál 3" xfId="76"/>
    <cellStyle name="Normál_2003-05K" xfId="77"/>
    <cellStyle name="Normál_99LETSZ_LETSZ02" xfId="106"/>
    <cellStyle name="Normál_BESZAM10" xfId="100"/>
    <cellStyle name="Normál_ESZKFOR" xfId="91"/>
    <cellStyle name="Normál_GAZDTÁRS11" xfId="103"/>
    <cellStyle name="Normál_GAZDTÁRS13" xfId="102"/>
    <cellStyle name="Normál_GAZDTÁRS15" xfId="101"/>
    <cellStyle name="Normál_GUCIFEJL" xfId="78"/>
    <cellStyle name="Normál_IKÖZI" xfId="111"/>
    <cellStyle name="Normál_intmind2_00LETSZ" xfId="109"/>
    <cellStyle name="Normál_kiadások kerekített_2000INT" xfId="99"/>
    <cellStyle name="Normál_kiadások kerekített_20INTKTG" xfId="97"/>
    <cellStyle name="Normál_kiemelt eik 2013" xfId="105"/>
    <cellStyle name="Normál_kozvetetttam" xfId="89"/>
    <cellStyle name="Normál_LAKAS" xfId="92"/>
    <cellStyle name="Normál_LETSZ06" xfId="108"/>
    <cellStyle name="Normál_letsz2011" xfId="107"/>
    <cellStyle name="Normál_módIV12önk" xfId="104"/>
    <cellStyle name="Normál_Munkafüzet1" xfId="94"/>
    <cellStyle name="Normál_Munkafüzet2" xfId="79"/>
    <cellStyle name="Normál_össz 97 norma kerekítés_1_98 évi norma tény (2)" xfId="112"/>
    <cellStyle name="Normál_SEGÉLY98" xfId="93"/>
    <cellStyle name="Normál_szem jutt kerekített_2000INT" xfId="98"/>
    <cellStyle name="Normál_TÖBBEV" xfId="90"/>
    <cellStyle name="Normál_VAGYONRE" xfId="95"/>
    <cellStyle name="Normál_VAGYONZ" xfId="96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k&#246;lts&#233;gvet&#233;s/int&#233;zm&#233;nyi%20k&#246;lts&#233;gvet&#233;s/INTkvet&#233;s%20kgy%20t&#225;bla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Rendeletm&#243;dos&#237;t&#225;s2016/Int.rend.m&#243;d.2016/INTrend.m&#243;d.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Besz&#225;mol&#243;%202016/INT%20besz&#225;mol&#243;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Rendeletm&#243;dos&#237;t&#225;s2016/Int.l&#233;tsz&#225;m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6"/>
      <sheetName val="int.kiadások2016"/>
    </sheetNames>
    <sheetDataSet>
      <sheetData sheetId="0">
        <row r="9">
          <cell r="B9">
            <v>988</v>
          </cell>
          <cell r="L9">
            <v>133439</v>
          </cell>
        </row>
        <row r="10">
          <cell r="B10">
            <v>840</v>
          </cell>
          <cell r="L10">
            <v>99983</v>
          </cell>
        </row>
        <row r="11">
          <cell r="B11">
            <v>1570</v>
          </cell>
          <cell r="L11">
            <v>86877</v>
          </cell>
        </row>
        <row r="12">
          <cell r="B12">
            <v>810</v>
          </cell>
          <cell r="L12">
            <v>111850</v>
          </cell>
        </row>
        <row r="13">
          <cell r="B13">
            <v>855</v>
          </cell>
          <cell r="L13">
            <v>104438</v>
          </cell>
        </row>
        <row r="14">
          <cell r="B14">
            <v>889</v>
          </cell>
          <cell r="L14">
            <v>83690</v>
          </cell>
        </row>
        <row r="15">
          <cell r="B15">
            <v>428</v>
          </cell>
          <cell r="L15">
            <v>70319</v>
          </cell>
        </row>
        <row r="16">
          <cell r="B16">
            <v>525</v>
          </cell>
          <cell r="L16">
            <v>73155</v>
          </cell>
        </row>
        <row r="17">
          <cell r="B17">
            <v>1176</v>
          </cell>
          <cell r="L17">
            <v>102582</v>
          </cell>
        </row>
        <row r="18">
          <cell r="B18">
            <v>1918</v>
          </cell>
          <cell r="L18">
            <v>118841</v>
          </cell>
        </row>
        <row r="19">
          <cell r="B19">
            <v>545</v>
          </cell>
          <cell r="L19">
            <v>62840</v>
          </cell>
        </row>
        <row r="20">
          <cell r="B20">
            <v>633</v>
          </cell>
          <cell r="L20">
            <v>49414</v>
          </cell>
        </row>
        <row r="21">
          <cell r="B21">
            <v>0</v>
          </cell>
          <cell r="L21">
            <v>67731</v>
          </cell>
        </row>
        <row r="22">
          <cell r="B22">
            <v>0</v>
          </cell>
          <cell r="L22">
            <v>80861</v>
          </cell>
        </row>
        <row r="23">
          <cell r="B23">
            <v>1559</v>
          </cell>
          <cell r="L23">
            <v>111480</v>
          </cell>
        </row>
        <row r="24">
          <cell r="B24">
            <v>952</v>
          </cell>
          <cell r="L24">
            <v>92545</v>
          </cell>
        </row>
        <row r="25">
          <cell r="B25">
            <v>753</v>
          </cell>
          <cell r="L25">
            <v>60725</v>
          </cell>
        </row>
        <row r="26">
          <cell r="B26">
            <v>637</v>
          </cell>
          <cell r="L26">
            <v>47108</v>
          </cell>
        </row>
        <row r="28">
          <cell r="B28">
            <v>455966</v>
          </cell>
          <cell r="L28">
            <v>1434761</v>
          </cell>
        </row>
        <row r="32">
          <cell r="B32">
            <v>267112</v>
          </cell>
          <cell r="L32">
            <v>86525</v>
          </cell>
        </row>
        <row r="33">
          <cell r="B33">
            <v>30868</v>
          </cell>
          <cell r="L33">
            <v>77686</v>
          </cell>
        </row>
        <row r="34">
          <cell r="B34">
            <v>87000</v>
          </cell>
          <cell r="D34">
            <v>24000</v>
          </cell>
          <cell r="L34">
            <v>271810</v>
          </cell>
          <cell r="M34">
            <v>15000</v>
          </cell>
        </row>
        <row r="35">
          <cell r="B35">
            <v>24000</v>
          </cell>
          <cell r="L35">
            <v>171031</v>
          </cell>
        </row>
        <row r="36">
          <cell r="B36">
            <v>120050</v>
          </cell>
          <cell r="L36">
            <v>362922</v>
          </cell>
        </row>
        <row r="39">
          <cell r="B39">
            <v>142894</v>
          </cell>
        </row>
        <row r="42">
          <cell r="B42">
            <v>30104</v>
          </cell>
          <cell r="C42">
            <v>200571</v>
          </cell>
          <cell r="I42">
            <v>1270</v>
          </cell>
          <cell r="L42">
            <v>199592</v>
          </cell>
        </row>
        <row r="45">
          <cell r="B45">
            <v>49527</v>
          </cell>
          <cell r="L45">
            <v>497998</v>
          </cell>
          <cell r="M45">
            <v>1903</v>
          </cell>
        </row>
        <row r="46">
          <cell r="B46">
            <v>89561</v>
          </cell>
          <cell r="L46">
            <v>535000</v>
          </cell>
        </row>
        <row r="51">
          <cell r="L51">
            <v>192226</v>
          </cell>
        </row>
        <row r="52">
          <cell r="B52">
            <v>16790</v>
          </cell>
          <cell r="L52">
            <v>1683193</v>
          </cell>
          <cell r="M52">
            <v>64800</v>
          </cell>
        </row>
        <row r="53">
          <cell r="B53">
            <v>1328950</v>
          </cell>
          <cell r="C53">
            <v>200571</v>
          </cell>
          <cell r="D53">
            <v>24000</v>
          </cell>
          <cell r="E53">
            <v>0</v>
          </cell>
          <cell r="F53">
            <v>1553521</v>
          </cell>
          <cell r="H53">
            <v>0</v>
          </cell>
          <cell r="I53">
            <v>1270</v>
          </cell>
          <cell r="J53">
            <v>0</v>
          </cell>
          <cell r="K53">
            <v>1270</v>
          </cell>
          <cell r="L53">
            <v>7070622</v>
          </cell>
          <cell r="M53">
            <v>81703</v>
          </cell>
          <cell r="N53">
            <v>7152325</v>
          </cell>
          <cell r="O53">
            <v>8707116</v>
          </cell>
        </row>
      </sheetData>
      <sheetData sheetId="1">
        <row r="9">
          <cell r="B9">
            <v>101414</v>
          </cell>
          <cell r="C9">
            <v>29143</v>
          </cell>
          <cell r="D9">
            <v>3870</v>
          </cell>
        </row>
        <row r="10">
          <cell r="B10">
            <v>77006</v>
          </cell>
          <cell r="C10">
            <v>20965</v>
          </cell>
          <cell r="D10">
            <v>2852</v>
          </cell>
        </row>
        <row r="11">
          <cell r="B11">
            <v>67005</v>
          </cell>
          <cell r="C11">
            <v>18076</v>
          </cell>
          <cell r="D11">
            <v>3366</v>
          </cell>
        </row>
        <row r="12">
          <cell r="B12">
            <v>84937</v>
          </cell>
          <cell r="C12">
            <v>24457</v>
          </cell>
          <cell r="D12">
            <v>3266</v>
          </cell>
        </row>
        <row r="13">
          <cell r="B13">
            <v>79326</v>
          </cell>
          <cell r="C13">
            <v>22800</v>
          </cell>
          <cell r="D13">
            <v>3167</v>
          </cell>
        </row>
        <row r="14">
          <cell r="B14">
            <v>64121</v>
          </cell>
          <cell r="C14">
            <v>17454</v>
          </cell>
          <cell r="D14">
            <v>3004</v>
          </cell>
        </row>
        <row r="15">
          <cell r="B15">
            <v>53704</v>
          </cell>
          <cell r="C15">
            <v>14635</v>
          </cell>
          <cell r="D15">
            <v>2408</v>
          </cell>
        </row>
        <row r="16">
          <cell r="B16">
            <v>55957</v>
          </cell>
          <cell r="C16">
            <v>15147</v>
          </cell>
          <cell r="D16">
            <v>2576</v>
          </cell>
        </row>
        <row r="17">
          <cell r="B17">
            <v>78202</v>
          </cell>
          <cell r="C17">
            <v>22420</v>
          </cell>
          <cell r="D17">
            <v>3136</v>
          </cell>
        </row>
        <row r="18">
          <cell r="B18">
            <v>91116</v>
          </cell>
          <cell r="C18">
            <v>26045</v>
          </cell>
          <cell r="D18">
            <v>3598</v>
          </cell>
        </row>
        <row r="19">
          <cell r="B19">
            <v>48060</v>
          </cell>
          <cell r="C19">
            <v>13072</v>
          </cell>
          <cell r="D19">
            <v>2253</v>
          </cell>
        </row>
        <row r="20">
          <cell r="B20">
            <v>37612</v>
          </cell>
          <cell r="C20">
            <v>10262</v>
          </cell>
          <cell r="D20">
            <v>2173</v>
          </cell>
        </row>
        <row r="21">
          <cell r="B21">
            <v>51228</v>
          </cell>
          <cell r="C21">
            <v>13926</v>
          </cell>
          <cell r="D21">
            <v>2577</v>
          </cell>
        </row>
        <row r="22">
          <cell r="B22">
            <v>61624</v>
          </cell>
          <cell r="C22">
            <v>16614</v>
          </cell>
          <cell r="D22">
            <v>2623</v>
          </cell>
        </row>
        <row r="23">
          <cell r="B23">
            <v>85020</v>
          </cell>
          <cell r="C23">
            <v>24590</v>
          </cell>
          <cell r="D23">
            <v>3429</v>
          </cell>
        </row>
        <row r="24">
          <cell r="B24">
            <v>71488</v>
          </cell>
          <cell r="C24">
            <v>19397</v>
          </cell>
          <cell r="D24">
            <v>2612</v>
          </cell>
        </row>
        <row r="25">
          <cell r="B25">
            <v>46566</v>
          </cell>
          <cell r="C25">
            <v>12538</v>
          </cell>
          <cell r="D25">
            <v>2374</v>
          </cell>
        </row>
        <row r="26">
          <cell r="B26">
            <v>35814</v>
          </cell>
          <cell r="C26">
            <v>9753</v>
          </cell>
          <cell r="D26">
            <v>2178</v>
          </cell>
        </row>
        <row r="28">
          <cell r="B28">
            <v>321549</v>
          </cell>
          <cell r="C28">
            <v>93651</v>
          </cell>
          <cell r="D28">
            <v>1475527</v>
          </cell>
        </row>
        <row r="32">
          <cell r="B32">
            <v>83006</v>
          </cell>
          <cell r="C32">
            <v>24139</v>
          </cell>
          <cell r="D32">
            <v>246492</v>
          </cell>
        </row>
        <row r="33">
          <cell r="B33">
            <v>54878</v>
          </cell>
          <cell r="C33">
            <v>16029</v>
          </cell>
          <cell r="D33">
            <v>37647</v>
          </cell>
        </row>
        <row r="34">
          <cell r="B34">
            <v>210986</v>
          </cell>
          <cell r="C34">
            <v>55499</v>
          </cell>
          <cell r="D34">
            <v>116325</v>
          </cell>
          <cell r="J34">
            <v>2500</v>
          </cell>
          <cell r="K34">
            <v>12500</v>
          </cell>
        </row>
        <row r="35">
          <cell r="B35">
            <v>105084</v>
          </cell>
          <cell r="C35">
            <v>27817</v>
          </cell>
          <cell r="D35">
            <v>62130</v>
          </cell>
        </row>
        <row r="36">
          <cell r="B36">
            <v>255203</v>
          </cell>
          <cell r="C36">
            <v>72531</v>
          </cell>
          <cell r="D36">
            <v>155112</v>
          </cell>
          <cell r="F36">
            <v>126</v>
          </cell>
        </row>
        <row r="39">
          <cell r="B39">
            <v>38725</v>
          </cell>
          <cell r="C39">
            <v>10719</v>
          </cell>
          <cell r="D39">
            <v>55767</v>
          </cell>
          <cell r="F39">
            <v>30383</v>
          </cell>
          <cell r="I39">
            <v>7300</v>
          </cell>
        </row>
        <row r="42">
          <cell r="B42">
            <v>242346</v>
          </cell>
          <cell r="C42">
            <v>68295</v>
          </cell>
          <cell r="D42">
            <v>119626</v>
          </cell>
          <cell r="I42">
            <v>1270</v>
          </cell>
        </row>
        <row r="45">
          <cell r="B45">
            <v>315620</v>
          </cell>
          <cell r="C45">
            <v>96070</v>
          </cell>
          <cell r="D45">
            <v>135835</v>
          </cell>
          <cell r="I45">
            <v>1903</v>
          </cell>
        </row>
        <row r="46">
          <cell r="B46">
            <v>314878</v>
          </cell>
          <cell r="C46">
            <v>92953</v>
          </cell>
          <cell r="D46">
            <v>216730</v>
          </cell>
        </row>
        <row r="51">
          <cell r="B51">
            <v>124676</v>
          </cell>
          <cell r="C51">
            <v>35155</v>
          </cell>
          <cell r="D51">
            <v>31395</v>
          </cell>
          <cell r="I51">
            <v>1000</v>
          </cell>
        </row>
        <row r="52">
          <cell r="B52">
            <v>1068593</v>
          </cell>
          <cell r="C52">
            <v>302605</v>
          </cell>
          <cell r="D52">
            <v>326285</v>
          </cell>
          <cell r="F52">
            <v>2500</v>
          </cell>
          <cell r="I52">
            <v>64800</v>
          </cell>
        </row>
        <row r="53">
          <cell r="B53">
            <v>4325744</v>
          </cell>
          <cell r="C53">
            <v>1226757</v>
          </cell>
          <cell r="D53">
            <v>3030333</v>
          </cell>
          <cell r="E53">
            <v>0</v>
          </cell>
          <cell r="F53">
            <v>33009</v>
          </cell>
          <cell r="G53">
            <v>8615843</v>
          </cell>
          <cell r="I53">
            <v>76273</v>
          </cell>
          <cell r="J53">
            <v>2500</v>
          </cell>
          <cell r="K53">
            <v>12500</v>
          </cell>
          <cell r="L53">
            <v>91273</v>
          </cell>
          <cell r="M53">
            <v>8707116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 "/>
      <sheetName val="int.kiadások RM 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T10">
            <v>135445</v>
          </cell>
          <cell r="AW10">
            <v>5485</v>
          </cell>
        </row>
        <row r="11">
          <cell r="D11">
            <v>1516</v>
          </cell>
          <cell r="AJ11">
            <v>1270</v>
          </cell>
          <cell r="AT11">
            <v>102371</v>
          </cell>
          <cell r="AW11">
            <v>1579</v>
          </cell>
        </row>
        <row r="12">
          <cell r="D12">
            <v>2021</v>
          </cell>
          <cell r="G12">
            <v>200</v>
          </cell>
          <cell r="AJ12">
            <v>403</v>
          </cell>
          <cell r="AT12">
            <v>90751</v>
          </cell>
          <cell r="AW12">
            <v>897</v>
          </cell>
        </row>
        <row r="13">
          <cell r="AT13">
            <v>115657</v>
          </cell>
          <cell r="AW13">
            <v>1693</v>
          </cell>
        </row>
        <row r="14">
          <cell r="D14">
            <v>1433</v>
          </cell>
          <cell r="G14">
            <v>44</v>
          </cell>
          <cell r="AJ14">
            <v>1229</v>
          </cell>
          <cell r="AT14">
            <v>108342</v>
          </cell>
          <cell r="AW14">
            <v>7383</v>
          </cell>
        </row>
        <row r="15">
          <cell r="D15">
            <v>1624</v>
          </cell>
          <cell r="AJ15">
            <v>882</v>
          </cell>
          <cell r="AT15">
            <v>88714</v>
          </cell>
          <cell r="AW15">
            <v>1331</v>
          </cell>
        </row>
        <row r="16">
          <cell r="D16">
            <v>1014</v>
          </cell>
          <cell r="J16">
            <v>30</v>
          </cell>
          <cell r="AJ16">
            <v>671</v>
          </cell>
          <cell r="AT16">
            <v>71812</v>
          </cell>
          <cell r="AW16">
            <v>1637</v>
          </cell>
        </row>
        <row r="17">
          <cell r="D17">
            <v>1138</v>
          </cell>
          <cell r="AJ17">
            <v>418</v>
          </cell>
          <cell r="AT17">
            <v>76623</v>
          </cell>
          <cell r="AW17">
            <v>3829</v>
          </cell>
        </row>
        <row r="18">
          <cell r="D18">
            <v>2031</v>
          </cell>
          <cell r="AJ18">
            <v>993</v>
          </cell>
          <cell r="AT18">
            <v>107352</v>
          </cell>
          <cell r="AW18">
            <v>763</v>
          </cell>
        </row>
        <row r="19">
          <cell r="D19">
            <v>2546</v>
          </cell>
          <cell r="AJ19">
            <v>935</v>
          </cell>
          <cell r="AT19">
            <v>122258</v>
          </cell>
          <cell r="AW19">
            <v>9279</v>
          </cell>
        </row>
        <row r="20">
          <cell r="D20">
            <v>975</v>
          </cell>
          <cell r="J20">
            <v>200</v>
          </cell>
          <cell r="AJ20">
            <v>504</v>
          </cell>
          <cell r="AT20">
            <v>66069</v>
          </cell>
          <cell r="AW20">
            <v>876</v>
          </cell>
        </row>
        <row r="21">
          <cell r="D21">
            <v>1169</v>
          </cell>
          <cell r="AJ21">
            <v>666</v>
          </cell>
          <cell r="AT21">
            <v>53326</v>
          </cell>
          <cell r="AW21">
            <v>13358</v>
          </cell>
        </row>
        <row r="22">
          <cell r="D22">
            <v>448</v>
          </cell>
          <cell r="AJ22">
            <v>552</v>
          </cell>
          <cell r="AT22">
            <v>70080</v>
          </cell>
          <cell r="AW22">
            <v>24384</v>
          </cell>
        </row>
        <row r="23">
          <cell r="D23">
            <v>1125</v>
          </cell>
          <cell r="G23">
            <v>200</v>
          </cell>
          <cell r="AJ23">
            <v>938</v>
          </cell>
          <cell r="AT23">
            <v>91165</v>
          </cell>
          <cell r="AW23">
            <v>915</v>
          </cell>
        </row>
        <row r="24">
          <cell r="D24">
            <v>2850</v>
          </cell>
          <cell r="J24">
            <v>2353</v>
          </cell>
          <cell r="AJ24">
            <v>1325</v>
          </cell>
          <cell r="AT24">
            <v>117172</v>
          </cell>
          <cell r="AW24">
            <v>1855</v>
          </cell>
        </row>
        <row r="25">
          <cell r="D25">
            <v>1941</v>
          </cell>
          <cell r="AJ25">
            <v>729</v>
          </cell>
          <cell r="AT25">
            <v>98821</v>
          </cell>
          <cell r="AW25">
            <v>1135</v>
          </cell>
        </row>
        <row r="26">
          <cell r="D26">
            <v>1601</v>
          </cell>
          <cell r="AJ26">
            <v>609</v>
          </cell>
          <cell r="AT26">
            <v>65478</v>
          </cell>
          <cell r="AW26">
            <v>3990</v>
          </cell>
        </row>
        <row r="27">
          <cell r="D27">
            <v>941</v>
          </cell>
          <cell r="J27">
            <v>200</v>
          </cell>
          <cell r="AJ27">
            <v>462</v>
          </cell>
          <cell r="AT27">
            <v>52104</v>
          </cell>
          <cell r="AW27">
            <v>2195</v>
          </cell>
        </row>
        <row r="29">
          <cell r="D29">
            <v>458466</v>
          </cell>
          <cell r="G29">
            <v>14877</v>
          </cell>
          <cell r="T29">
            <v>50</v>
          </cell>
          <cell r="AJ29">
            <v>3069</v>
          </cell>
          <cell r="AT29">
            <v>1535330</v>
          </cell>
          <cell r="AW29">
            <v>210952</v>
          </cell>
        </row>
        <row r="33">
          <cell r="D33">
            <v>292515</v>
          </cell>
          <cell r="G33">
            <v>24451</v>
          </cell>
          <cell r="J33">
            <v>3219</v>
          </cell>
          <cell r="AJ33">
            <v>4850</v>
          </cell>
          <cell r="AT33">
            <v>178856</v>
          </cell>
          <cell r="AW33">
            <v>36478</v>
          </cell>
        </row>
        <row r="34">
          <cell r="D34">
            <v>38643</v>
          </cell>
          <cell r="G34">
            <v>16977</v>
          </cell>
          <cell r="AJ34">
            <v>3131</v>
          </cell>
          <cell r="AT34">
            <v>98990</v>
          </cell>
          <cell r="AW34">
            <v>3937</v>
          </cell>
        </row>
        <row r="35">
          <cell r="D35">
            <v>92251</v>
          </cell>
          <cell r="G35">
            <v>5000</v>
          </cell>
          <cell r="J35">
            <v>30612</v>
          </cell>
          <cell r="AJ35">
            <v>27617</v>
          </cell>
          <cell r="AT35">
            <v>324878</v>
          </cell>
          <cell r="AW35">
            <v>26151</v>
          </cell>
        </row>
        <row r="36">
          <cell r="D36">
            <v>25977</v>
          </cell>
          <cell r="G36">
            <v>12343</v>
          </cell>
          <cell r="AJ36">
            <v>48010</v>
          </cell>
          <cell r="AT36">
            <v>299947</v>
          </cell>
          <cell r="AW36">
            <v>16266</v>
          </cell>
        </row>
        <row r="37">
          <cell r="D37">
            <v>74038</v>
          </cell>
          <cell r="G37">
            <v>26836</v>
          </cell>
          <cell r="J37">
            <v>77</v>
          </cell>
          <cell r="T37">
            <v>40</v>
          </cell>
          <cell r="AJ37">
            <v>7927</v>
          </cell>
          <cell r="AT37">
            <v>445109</v>
          </cell>
          <cell r="AW37">
            <v>59606</v>
          </cell>
        </row>
        <row r="40">
          <cell r="D40">
            <v>147123</v>
          </cell>
          <cell r="AJ40">
            <v>35303</v>
          </cell>
          <cell r="AT40">
            <v>1081</v>
          </cell>
        </row>
        <row r="43">
          <cell r="D43">
            <v>30893</v>
          </cell>
          <cell r="G43">
            <v>223012</v>
          </cell>
          <cell r="W43">
            <v>4630</v>
          </cell>
          <cell r="AJ43">
            <v>19190</v>
          </cell>
          <cell r="AT43">
            <v>230677</v>
          </cell>
          <cell r="AW43">
            <v>17438</v>
          </cell>
        </row>
        <row r="46">
          <cell r="G46">
            <v>819</v>
          </cell>
          <cell r="AT46">
            <v>594762</v>
          </cell>
          <cell r="AW46">
            <v>7226</v>
          </cell>
        </row>
        <row r="47">
          <cell r="D47">
            <v>111263</v>
          </cell>
          <cell r="G47">
            <v>22874</v>
          </cell>
          <cell r="T47">
            <v>14</v>
          </cell>
          <cell r="AJ47">
            <v>30448</v>
          </cell>
          <cell r="AT47">
            <v>604136</v>
          </cell>
          <cell r="AW47">
            <v>28647</v>
          </cell>
        </row>
        <row r="52">
          <cell r="D52">
            <v>1010</v>
          </cell>
          <cell r="AJ52">
            <v>2419</v>
          </cell>
          <cell r="AT52">
            <v>196354</v>
          </cell>
          <cell r="AW52">
            <v>4708</v>
          </cell>
        </row>
        <row r="53">
          <cell r="D53">
            <v>27014</v>
          </cell>
          <cell r="G53">
            <v>11542</v>
          </cell>
          <cell r="M53">
            <v>800</v>
          </cell>
          <cell r="T53">
            <v>5342</v>
          </cell>
          <cell r="AJ53">
            <v>9912</v>
          </cell>
          <cell r="AT53">
            <v>1727203</v>
          </cell>
          <cell r="AW53">
            <v>107006</v>
          </cell>
        </row>
        <row r="54">
          <cell r="D54">
            <v>1370976</v>
          </cell>
          <cell r="G54">
            <v>359175</v>
          </cell>
          <cell r="J54">
            <v>36691</v>
          </cell>
          <cell r="M54">
            <v>800</v>
          </cell>
          <cell r="P54">
            <v>1767642</v>
          </cell>
          <cell r="T54">
            <v>5446</v>
          </cell>
          <cell r="W54">
            <v>4630</v>
          </cell>
          <cell r="Z54">
            <v>0</v>
          </cell>
          <cell r="AC54">
            <v>10076</v>
          </cell>
          <cell r="AJ54">
            <v>208755</v>
          </cell>
          <cell r="AP54">
            <v>208755</v>
          </cell>
          <cell r="AT54">
            <v>7870863</v>
          </cell>
          <cell r="AW54">
            <v>600999</v>
          </cell>
          <cell r="AZ54">
            <v>8471862</v>
          </cell>
          <cell r="BC54">
            <v>10458335</v>
          </cell>
        </row>
      </sheetData>
      <sheetData sheetId="9">
        <row r="10">
          <cell r="D10">
            <v>103805</v>
          </cell>
          <cell r="G10">
            <v>29838</v>
          </cell>
          <cell r="J10">
            <v>5624</v>
          </cell>
          <cell r="X10">
            <v>4847</v>
          </cell>
          <cell r="AA10">
            <v>638</v>
          </cell>
        </row>
        <row r="11">
          <cell r="D11">
            <v>79944</v>
          </cell>
          <cell r="G11">
            <v>21754</v>
          </cell>
          <cell r="J11">
            <v>3459</v>
          </cell>
          <cell r="X11">
            <v>1348</v>
          </cell>
          <cell r="AA11">
            <v>231</v>
          </cell>
        </row>
        <row r="12">
          <cell r="D12">
            <v>68935</v>
          </cell>
          <cell r="G12">
            <v>18620</v>
          </cell>
          <cell r="J12">
            <v>5820</v>
          </cell>
          <cell r="X12">
            <v>644</v>
          </cell>
          <cell r="AA12">
            <v>253</v>
          </cell>
        </row>
        <row r="13">
          <cell r="D13">
            <v>87581</v>
          </cell>
          <cell r="G13">
            <v>25202</v>
          </cell>
          <cell r="J13">
            <v>5535</v>
          </cell>
          <cell r="X13">
            <v>1693</v>
          </cell>
        </row>
        <row r="14">
          <cell r="D14">
            <v>82219</v>
          </cell>
          <cell r="G14">
            <v>23622</v>
          </cell>
          <cell r="J14">
            <v>5207</v>
          </cell>
          <cell r="X14">
            <v>605</v>
          </cell>
          <cell r="AA14">
            <v>6778</v>
          </cell>
        </row>
        <row r="15">
          <cell r="D15">
            <v>67189</v>
          </cell>
          <cell r="G15">
            <v>18312</v>
          </cell>
          <cell r="J15">
            <v>5719</v>
          </cell>
          <cell r="X15">
            <v>1153</v>
          </cell>
          <cell r="AA15">
            <v>178</v>
          </cell>
        </row>
        <row r="16">
          <cell r="D16">
            <v>55132</v>
          </cell>
          <cell r="G16">
            <v>15086</v>
          </cell>
          <cell r="J16">
            <v>3309</v>
          </cell>
          <cell r="X16">
            <v>837</v>
          </cell>
          <cell r="AA16">
            <v>800</v>
          </cell>
        </row>
        <row r="17">
          <cell r="D17">
            <v>57163</v>
          </cell>
          <cell r="G17">
            <v>15501</v>
          </cell>
          <cell r="J17">
            <v>5515</v>
          </cell>
          <cell r="X17">
            <v>2149</v>
          </cell>
          <cell r="AA17">
            <v>1680</v>
          </cell>
        </row>
        <row r="18">
          <cell r="D18">
            <v>81320</v>
          </cell>
          <cell r="G18">
            <v>23270</v>
          </cell>
          <cell r="J18">
            <v>5786</v>
          </cell>
          <cell r="X18">
            <v>546</v>
          </cell>
          <cell r="AA18">
            <v>217</v>
          </cell>
        </row>
        <row r="19">
          <cell r="D19">
            <v>92974</v>
          </cell>
          <cell r="G19">
            <v>26817</v>
          </cell>
          <cell r="J19">
            <v>5948</v>
          </cell>
          <cell r="X19">
            <v>1654</v>
          </cell>
          <cell r="AA19">
            <v>7625</v>
          </cell>
        </row>
        <row r="20">
          <cell r="D20">
            <v>49736</v>
          </cell>
          <cell r="G20">
            <v>13550</v>
          </cell>
          <cell r="J20">
            <v>4462</v>
          </cell>
          <cell r="X20">
            <v>758</v>
          </cell>
          <cell r="AA20">
            <v>118</v>
          </cell>
        </row>
        <row r="21">
          <cell r="D21">
            <v>40948</v>
          </cell>
          <cell r="G21">
            <v>11183</v>
          </cell>
          <cell r="J21">
            <v>3030</v>
          </cell>
          <cell r="X21">
            <v>1070</v>
          </cell>
          <cell r="AA21">
            <v>12288</v>
          </cell>
        </row>
        <row r="22">
          <cell r="D22">
            <v>52518</v>
          </cell>
          <cell r="G22">
            <v>14305</v>
          </cell>
          <cell r="J22">
            <v>4257</v>
          </cell>
          <cell r="X22">
            <v>8789</v>
          </cell>
          <cell r="AA22">
            <v>15595</v>
          </cell>
        </row>
        <row r="23">
          <cell r="D23">
            <v>64690</v>
          </cell>
          <cell r="G23">
            <v>17445</v>
          </cell>
          <cell r="J23">
            <v>11293</v>
          </cell>
          <cell r="X23">
            <v>678</v>
          </cell>
          <cell r="AA23">
            <v>237</v>
          </cell>
        </row>
        <row r="24">
          <cell r="D24">
            <v>88910</v>
          </cell>
          <cell r="G24">
            <v>25732</v>
          </cell>
          <cell r="J24">
            <v>9058</v>
          </cell>
          <cell r="X24">
            <v>952</v>
          </cell>
          <cell r="AA24">
            <v>903</v>
          </cell>
        </row>
        <row r="25">
          <cell r="D25">
            <v>74742</v>
          </cell>
          <cell r="G25">
            <v>20238</v>
          </cell>
          <cell r="J25">
            <v>6511</v>
          </cell>
          <cell r="X25">
            <v>865</v>
          </cell>
          <cell r="AA25">
            <v>270</v>
          </cell>
        </row>
        <row r="26">
          <cell r="D26">
            <v>49129</v>
          </cell>
          <cell r="G26">
            <v>13310</v>
          </cell>
          <cell r="J26">
            <v>5249</v>
          </cell>
          <cell r="X26">
            <v>2050</v>
          </cell>
          <cell r="AA26">
            <v>1940</v>
          </cell>
        </row>
        <row r="27">
          <cell r="D27">
            <v>39188</v>
          </cell>
          <cell r="G27">
            <v>10683</v>
          </cell>
          <cell r="J27">
            <v>3836</v>
          </cell>
          <cell r="X27">
            <v>2105</v>
          </cell>
          <cell r="AA27">
            <v>90</v>
          </cell>
        </row>
        <row r="29">
          <cell r="D29">
            <v>381860</v>
          </cell>
          <cell r="G29">
            <v>108949</v>
          </cell>
          <cell r="J29">
            <v>1520863</v>
          </cell>
          <cell r="Q29">
            <v>70</v>
          </cell>
          <cell r="X29">
            <v>111479</v>
          </cell>
          <cell r="AA29">
            <v>99523</v>
          </cell>
        </row>
        <row r="33">
          <cell r="D33">
            <v>94922</v>
          </cell>
          <cell r="G33">
            <v>27480</v>
          </cell>
          <cell r="J33">
            <v>381489</v>
          </cell>
          <cell r="X33">
            <v>35462</v>
          </cell>
          <cell r="AA33">
            <v>1016</v>
          </cell>
        </row>
        <row r="34">
          <cell r="D34">
            <v>56097</v>
          </cell>
          <cell r="G34">
            <v>16739</v>
          </cell>
          <cell r="J34">
            <v>84905</v>
          </cell>
          <cell r="X34">
            <v>3937</v>
          </cell>
        </row>
        <row r="35">
          <cell r="D35">
            <v>225335</v>
          </cell>
          <cell r="G35">
            <v>59151</v>
          </cell>
          <cell r="J35">
            <v>195837</v>
          </cell>
          <cell r="Q35">
            <v>35</v>
          </cell>
          <cell r="X35">
            <v>26151</v>
          </cell>
        </row>
        <row r="36">
          <cell r="D36">
            <v>156213</v>
          </cell>
          <cell r="G36">
            <v>41153</v>
          </cell>
          <cell r="J36">
            <v>188911</v>
          </cell>
          <cell r="X36">
            <v>16266</v>
          </cell>
        </row>
        <row r="37">
          <cell r="D37">
            <v>255745</v>
          </cell>
          <cell r="G37">
            <v>72662</v>
          </cell>
          <cell r="J37">
            <v>220446</v>
          </cell>
          <cell r="Q37">
            <v>5134</v>
          </cell>
          <cell r="X37">
            <v>54173</v>
          </cell>
          <cell r="AA37">
            <v>5473</v>
          </cell>
        </row>
        <row r="40">
          <cell r="D40">
            <v>39628</v>
          </cell>
          <cell r="G40">
            <v>11019</v>
          </cell>
          <cell r="J40">
            <v>69898</v>
          </cell>
          <cell r="Q40">
            <v>53662</v>
          </cell>
          <cell r="X40">
            <v>9300</v>
          </cell>
          <cell r="AA40">
            <v>0</v>
          </cell>
        </row>
        <row r="43">
          <cell r="D43">
            <v>274751</v>
          </cell>
          <cell r="G43">
            <v>77530</v>
          </cell>
          <cell r="J43">
            <v>151491</v>
          </cell>
          <cell r="X43">
            <v>9996</v>
          </cell>
          <cell r="AA43">
            <v>12072</v>
          </cell>
        </row>
        <row r="46">
          <cell r="D46">
            <v>394916</v>
          </cell>
          <cell r="G46">
            <v>115598</v>
          </cell>
          <cell r="J46">
            <v>130287</v>
          </cell>
          <cell r="X46">
            <v>6341</v>
          </cell>
          <cell r="AA46">
            <v>885</v>
          </cell>
        </row>
        <row r="47">
          <cell r="D47">
            <v>405840</v>
          </cell>
          <cell r="G47">
            <v>116479</v>
          </cell>
          <cell r="J47">
            <v>246402</v>
          </cell>
          <cell r="X47">
            <v>18311</v>
          </cell>
          <cell r="AA47">
            <v>10350</v>
          </cell>
        </row>
        <row r="52">
          <cell r="D52">
            <v>130455</v>
          </cell>
          <cell r="G52">
            <v>36771</v>
          </cell>
          <cell r="J52">
            <v>32557</v>
          </cell>
          <cell r="X52">
            <v>4460</v>
          </cell>
          <cell r="AA52">
            <v>248</v>
          </cell>
        </row>
        <row r="53">
          <cell r="D53">
            <v>1106723</v>
          </cell>
          <cell r="G53">
            <v>310941</v>
          </cell>
          <cell r="J53">
            <v>356307</v>
          </cell>
          <cell r="Q53">
            <v>2500</v>
          </cell>
          <cell r="X53">
            <v>111595</v>
          </cell>
          <cell r="AA53">
            <v>753</v>
          </cell>
        </row>
        <row r="54">
          <cell r="D54">
            <v>4758608</v>
          </cell>
          <cell r="G54">
            <v>1338940</v>
          </cell>
          <cell r="J54">
            <v>3679011</v>
          </cell>
          <cell r="N54">
            <v>0</v>
          </cell>
          <cell r="Q54">
            <v>61401</v>
          </cell>
          <cell r="T54">
            <v>9837960</v>
          </cell>
          <cell r="X54">
            <v>440214</v>
          </cell>
          <cell r="AA54">
            <v>180161</v>
          </cell>
          <cell r="AD54">
            <v>0</v>
          </cell>
          <cell r="AG54">
            <v>620375</v>
          </cell>
          <cell r="AJ54">
            <v>10458335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16"/>
      <sheetName val="éves besz.kiadásai2016"/>
    </sheetNames>
    <sheetDataSet>
      <sheetData sheetId="0">
        <row r="10">
          <cell r="BM10">
            <v>134427</v>
          </cell>
          <cell r="BN10">
            <v>144752</v>
          </cell>
          <cell r="BO10">
            <v>136067</v>
          </cell>
        </row>
        <row r="11">
          <cell r="BM11">
            <v>100823</v>
          </cell>
          <cell r="BN11">
            <v>106736</v>
          </cell>
          <cell r="BO11">
            <v>100644</v>
          </cell>
        </row>
        <row r="12">
          <cell r="BM12">
            <v>88447</v>
          </cell>
          <cell r="BN12">
            <v>94272</v>
          </cell>
          <cell r="BO12">
            <v>90951</v>
          </cell>
        </row>
        <row r="13">
          <cell r="BM13">
            <v>112660</v>
          </cell>
          <cell r="BN13">
            <v>120011</v>
          </cell>
          <cell r="BO13">
            <v>116740</v>
          </cell>
        </row>
        <row r="14">
          <cell r="BM14">
            <v>105293</v>
          </cell>
          <cell r="BN14">
            <v>118431</v>
          </cell>
          <cell r="BO14">
            <v>112567</v>
          </cell>
        </row>
        <row r="15">
          <cell r="BM15">
            <v>84579</v>
          </cell>
          <cell r="BN15">
            <v>92551</v>
          </cell>
          <cell r="BO15">
            <v>86734</v>
          </cell>
        </row>
        <row r="16">
          <cell r="BM16">
            <v>70747</v>
          </cell>
          <cell r="BN16">
            <v>75164</v>
          </cell>
          <cell r="BO16">
            <v>73580</v>
          </cell>
        </row>
        <row r="17">
          <cell r="BM17">
            <v>73680</v>
          </cell>
          <cell r="BN17">
            <v>82008</v>
          </cell>
          <cell r="BO17">
            <v>79004</v>
          </cell>
        </row>
        <row r="18">
          <cell r="BM18">
            <v>103758</v>
          </cell>
          <cell r="BN18">
            <v>111139</v>
          </cell>
          <cell r="BO18">
            <v>107111</v>
          </cell>
        </row>
        <row r="19">
          <cell r="BM19">
            <v>120759</v>
          </cell>
          <cell r="BN19">
            <v>135018</v>
          </cell>
          <cell r="BO19">
            <v>131092</v>
          </cell>
        </row>
        <row r="20">
          <cell r="BM20">
            <v>63385</v>
          </cell>
          <cell r="BN20">
            <v>68624</v>
          </cell>
          <cell r="BO20">
            <v>66462</v>
          </cell>
        </row>
        <row r="21">
          <cell r="BM21">
            <v>50047</v>
          </cell>
          <cell r="BN21">
            <v>68519</v>
          </cell>
          <cell r="BO21">
            <v>62841</v>
          </cell>
        </row>
        <row r="22">
          <cell r="BM22">
            <v>67731</v>
          </cell>
          <cell r="BN22">
            <v>95464</v>
          </cell>
          <cell r="BO22">
            <v>91156</v>
          </cell>
        </row>
        <row r="23">
          <cell r="BM23">
            <v>80861</v>
          </cell>
          <cell r="BN23">
            <v>94343</v>
          </cell>
          <cell r="BO23">
            <v>90043</v>
          </cell>
        </row>
        <row r="24">
          <cell r="BM24">
            <v>113039</v>
          </cell>
          <cell r="BN24">
            <v>125555</v>
          </cell>
          <cell r="BO24">
            <v>121089</v>
          </cell>
        </row>
        <row r="25">
          <cell r="BM25">
            <v>93497</v>
          </cell>
          <cell r="BN25">
            <v>102626</v>
          </cell>
          <cell r="BO25">
            <v>94885</v>
          </cell>
        </row>
        <row r="26">
          <cell r="BM26">
            <v>61478</v>
          </cell>
          <cell r="BN26">
            <v>71678</v>
          </cell>
          <cell r="BO26">
            <v>68712</v>
          </cell>
        </row>
        <row r="27">
          <cell r="BM27">
            <v>47745</v>
          </cell>
          <cell r="BN27">
            <v>55902</v>
          </cell>
          <cell r="BO27">
            <v>53640</v>
          </cell>
        </row>
        <row r="28">
          <cell r="BM28">
            <v>1572956</v>
          </cell>
          <cell r="BN28">
            <v>1762793</v>
          </cell>
          <cell r="BO28">
            <v>1683318</v>
          </cell>
        </row>
        <row r="29">
          <cell r="BM29">
            <v>1890727</v>
          </cell>
          <cell r="BN29">
            <v>2222744</v>
          </cell>
          <cell r="BO29">
            <v>1997466</v>
          </cell>
        </row>
        <row r="30">
          <cell r="BM30">
            <v>3463683</v>
          </cell>
          <cell r="BN30">
            <v>3985537</v>
          </cell>
          <cell r="BO30">
            <v>3680784</v>
          </cell>
        </row>
        <row r="33">
          <cell r="BM33">
            <v>353637</v>
          </cell>
          <cell r="BN33">
            <v>540369</v>
          </cell>
          <cell r="BO33">
            <v>534267</v>
          </cell>
        </row>
        <row r="34">
          <cell r="BM34">
            <v>108554</v>
          </cell>
          <cell r="BN34">
            <v>161678</v>
          </cell>
          <cell r="BO34">
            <v>134566</v>
          </cell>
        </row>
        <row r="35">
          <cell r="BM35">
            <v>397810</v>
          </cell>
          <cell r="BN35">
            <v>506509</v>
          </cell>
          <cell r="BO35">
            <v>427691</v>
          </cell>
        </row>
        <row r="36">
          <cell r="BM36">
            <v>195031</v>
          </cell>
          <cell r="BN36">
            <v>402543</v>
          </cell>
          <cell r="BO36">
            <v>390668</v>
          </cell>
        </row>
        <row r="37">
          <cell r="BM37">
            <v>482972</v>
          </cell>
          <cell r="BN37">
            <v>613633</v>
          </cell>
          <cell r="BO37">
            <v>594839</v>
          </cell>
        </row>
        <row r="38">
          <cell r="BM38">
            <v>1538004</v>
          </cell>
          <cell r="BN38">
            <v>2224732</v>
          </cell>
          <cell r="BO38">
            <v>2082031</v>
          </cell>
        </row>
        <row r="40">
          <cell r="BM40">
            <v>142894</v>
          </cell>
          <cell r="BN40">
            <v>183507</v>
          </cell>
          <cell r="BO40">
            <v>182425</v>
          </cell>
        </row>
        <row r="41">
          <cell r="BM41">
            <v>142894</v>
          </cell>
          <cell r="BN41">
            <v>183507</v>
          </cell>
          <cell r="BO41">
            <v>182425</v>
          </cell>
        </row>
        <row r="43">
          <cell r="BM43">
            <v>431537</v>
          </cell>
          <cell r="BN43">
            <v>525840</v>
          </cell>
          <cell r="BO43">
            <v>518536</v>
          </cell>
        </row>
        <row r="44">
          <cell r="BM44">
            <v>431537</v>
          </cell>
          <cell r="BN44">
            <v>525840</v>
          </cell>
          <cell r="BO44">
            <v>518536</v>
          </cell>
        </row>
        <row r="46">
          <cell r="BM46">
            <v>549428</v>
          </cell>
          <cell r="BN46">
            <v>648027</v>
          </cell>
          <cell r="BO46">
            <v>645117</v>
          </cell>
        </row>
        <row r="47">
          <cell r="BM47">
            <v>624561</v>
          </cell>
          <cell r="BN47">
            <v>797382</v>
          </cell>
          <cell r="BO47">
            <v>758267</v>
          </cell>
        </row>
        <row r="48">
          <cell r="BM48">
            <v>1173989</v>
          </cell>
          <cell r="BN48">
            <v>1445409</v>
          </cell>
          <cell r="BO48">
            <v>1403384</v>
          </cell>
        </row>
        <row r="49">
          <cell r="BM49">
            <v>3286424</v>
          </cell>
          <cell r="BN49">
            <v>4379488</v>
          </cell>
          <cell r="BO49">
            <v>4186376</v>
          </cell>
        </row>
        <row r="50">
          <cell r="BM50">
            <v>3463683</v>
          </cell>
          <cell r="BN50">
            <v>3985537</v>
          </cell>
          <cell r="BO50">
            <v>3680784</v>
          </cell>
        </row>
        <row r="51">
          <cell r="BM51">
            <v>6750107</v>
          </cell>
          <cell r="BN51">
            <v>8365025</v>
          </cell>
          <cell r="BO51">
            <v>7867160</v>
          </cell>
        </row>
        <row r="52">
          <cell r="BM52">
            <v>192226</v>
          </cell>
          <cell r="BN52">
            <v>204491</v>
          </cell>
          <cell r="BO52">
            <v>185103</v>
          </cell>
        </row>
        <row r="53">
          <cell r="BM53">
            <v>1764783</v>
          </cell>
          <cell r="BN53">
            <v>1888819</v>
          </cell>
          <cell r="BO53">
            <v>1617639</v>
          </cell>
        </row>
        <row r="54">
          <cell r="BM54">
            <v>8707116</v>
          </cell>
          <cell r="BN54">
            <v>10458335</v>
          </cell>
          <cell r="BO54">
            <v>9669902</v>
          </cell>
        </row>
      </sheetData>
      <sheetData sheetId="1">
        <row r="10">
          <cell r="AP10">
            <v>5485</v>
          </cell>
          <cell r="AQ10">
            <v>3116</v>
          </cell>
        </row>
        <row r="11">
          <cell r="AP11">
            <v>1579</v>
          </cell>
          <cell r="AQ11">
            <v>1570</v>
          </cell>
        </row>
        <row r="12">
          <cell r="AP12">
            <v>897</v>
          </cell>
          <cell r="AQ12">
            <v>889</v>
          </cell>
        </row>
        <row r="13">
          <cell r="AP13">
            <v>1693</v>
          </cell>
          <cell r="AQ13">
            <v>1691</v>
          </cell>
        </row>
        <row r="14">
          <cell r="AP14">
            <v>7383</v>
          </cell>
          <cell r="AQ14">
            <v>7374</v>
          </cell>
        </row>
        <row r="15">
          <cell r="AP15">
            <v>1331</v>
          </cell>
          <cell r="AQ15">
            <v>1315</v>
          </cell>
        </row>
        <row r="16">
          <cell r="AP16">
            <v>1637</v>
          </cell>
          <cell r="AQ16">
            <v>1392</v>
          </cell>
        </row>
        <row r="17">
          <cell r="AP17">
            <v>3829</v>
          </cell>
          <cell r="AQ17">
            <v>2305</v>
          </cell>
        </row>
        <row r="18">
          <cell r="AP18">
            <v>763</v>
          </cell>
          <cell r="AQ18">
            <v>738</v>
          </cell>
        </row>
        <row r="19">
          <cell r="AP19">
            <v>9279</v>
          </cell>
          <cell r="AQ19">
            <v>8420</v>
          </cell>
        </row>
        <row r="20">
          <cell r="AP20">
            <v>876</v>
          </cell>
          <cell r="AQ20">
            <v>875</v>
          </cell>
        </row>
        <row r="21">
          <cell r="AP21">
            <v>13358</v>
          </cell>
          <cell r="AQ21">
            <v>10903</v>
          </cell>
        </row>
        <row r="22">
          <cell r="AP22">
            <v>24384</v>
          </cell>
          <cell r="AQ22">
            <v>24121</v>
          </cell>
        </row>
        <row r="23">
          <cell r="AP23">
            <v>915</v>
          </cell>
          <cell r="AQ23">
            <v>914</v>
          </cell>
        </row>
        <row r="24">
          <cell r="AP24">
            <v>1855</v>
          </cell>
          <cell r="AQ24">
            <v>1797</v>
          </cell>
        </row>
        <row r="25">
          <cell r="AP25">
            <v>1135</v>
          </cell>
          <cell r="AQ25">
            <v>1111</v>
          </cell>
        </row>
        <row r="26">
          <cell r="AP26">
            <v>3990</v>
          </cell>
          <cell r="AQ26">
            <v>3702</v>
          </cell>
        </row>
        <row r="27">
          <cell r="AP27">
            <v>2195</v>
          </cell>
          <cell r="AQ27">
            <v>2102</v>
          </cell>
        </row>
        <row r="28">
          <cell r="AQ28">
            <v>74335</v>
          </cell>
        </row>
        <row r="29">
          <cell r="AP29">
            <v>211002</v>
          </cell>
          <cell r="AQ29">
            <v>209949</v>
          </cell>
        </row>
        <row r="30">
          <cell r="AQ30">
            <v>284284</v>
          </cell>
        </row>
        <row r="33">
          <cell r="AP33">
            <v>36478</v>
          </cell>
          <cell r="AQ33">
            <v>21424</v>
          </cell>
        </row>
        <row r="34">
          <cell r="AP34">
            <v>3937</v>
          </cell>
          <cell r="AQ34">
            <v>3835</v>
          </cell>
        </row>
        <row r="35">
          <cell r="AP35">
            <v>26151</v>
          </cell>
          <cell r="AQ35">
            <v>17473</v>
          </cell>
        </row>
        <row r="36">
          <cell r="AP36">
            <v>16266</v>
          </cell>
          <cell r="AQ36">
            <v>14259</v>
          </cell>
        </row>
        <row r="37">
          <cell r="AP37">
            <v>59646</v>
          </cell>
          <cell r="AQ37">
            <v>58666</v>
          </cell>
        </row>
        <row r="40">
          <cell r="AP40">
            <v>9300</v>
          </cell>
          <cell r="AQ40">
            <v>7096</v>
          </cell>
        </row>
        <row r="43">
          <cell r="AP43">
            <v>22068</v>
          </cell>
          <cell r="AQ43">
            <v>17648</v>
          </cell>
        </row>
        <row r="46">
          <cell r="AP46">
            <v>7226</v>
          </cell>
          <cell r="AQ46">
            <v>6313</v>
          </cell>
        </row>
        <row r="47">
          <cell r="AP47">
            <v>28661</v>
          </cell>
          <cell r="AQ47">
            <v>19097</v>
          </cell>
        </row>
        <row r="52">
          <cell r="AP52">
            <v>4708</v>
          </cell>
          <cell r="AQ52">
            <v>4179</v>
          </cell>
        </row>
        <row r="53">
          <cell r="AP53">
            <v>112348</v>
          </cell>
          <cell r="AQ53">
            <v>75790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5-2016eltérés"/>
      <sheetName val="l2016 évi nyitó létszám"/>
      <sheetName val="létszám ei mód RM II."/>
      <sheetName val="létszám ei mód RM IV."/>
      <sheetName val="7. létszám ei zárás 2016 év"/>
    </sheetNames>
    <sheetDataSet>
      <sheetData sheetId="0"/>
      <sheetData sheetId="1"/>
      <sheetData sheetId="2"/>
      <sheetData sheetId="3"/>
      <sheetData sheetId="4">
        <row r="9">
          <cell r="F9">
            <v>32</v>
          </cell>
          <cell r="G9">
            <v>32</v>
          </cell>
          <cell r="L9">
            <v>1</v>
          </cell>
          <cell r="M9">
            <v>1</v>
          </cell>
        </row>
        <row r="10">
          <cell r="F10">
            <v>22</v>
          </cell>
          <cell r="G10">
            <v>22</v>
          </cell>
          <cell r="L10">
            <v>1</v>
          </cell>
          <cell r="M10">
            <v>1</v>
          </cell>
        </row>
        <row r="11">
          <cell r="F11">
            <v>22</v>
          </cell>
          <cell r="G11">
            <v>22</v>
          </cell>
          <cell r="L11">
            <v>1</v>
          </cell>
          <cell r="M11">
            <v>1</v>
          </cell>
        </row>
        <row r="12">
          <cell r="F12">
            <v>26</v>
          </cell>
          <cell r="G12">
            <v>26</v>
          </cell>
          <cell r="L12">
            <v>1</v>
          </cell>
          <cell r="M12">
            <v>1</v>
          </cell>
        </row>
        <row r="13">
          <cell r="F13">
            <v>25</v>
          </cell>
          <cell r="G13">
            <v>25</v>
          </cell>
          <cell r="L13">
            <v>1</v>
          </cell>
          <cell r="M13">
            <v>1</v>
          </cell>
        </row>
        <row r="14">
          <cell r="F14">
            <v>22.5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25</v>
          </cell>
          <cell r="G17">
            <v>25</v>
          </cell>
          <cell r="L17">
            <v>1</v>
          </cell>
          <cell r="M17">
            <v>1</v>
          </cell>
        </row>
        <row r="18">
          <cell r="F18">
            <v>28</v>
          </cell>
          <cell r="G18">
            <v>28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11.5</v>
          </cell>
          <cell r="G20">
            <v>11</v>
          </cell>
          <cell r="L20">
            <v>1</v>
          </cell>
          <cell r="M20">
            <v>1</v>
          </cell>
        </row>
        <row r="21">
          <cell r="F21">
            <v>15</v>
          </cell>
          <cell r="G21">
            <v>15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28</v>
          </cell>
          <cell r="G23">
            <v>28</v>
          </cell>
          <cell r="L23">
            <v>1</v>
          </cell>
          <cell r="M23">
            <v>1</v>
          </cell>
        </row>
        <row r="24">
          <cell r="F24">
            <v>22</v>
          </cell>
          <cell r="G24">
            <v>22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154</v>
          </cell>
          <cell r="M28">
            <v>154</v>
          </cell>
        </row>
        <row r="32">
          <cell r="F32">
            <v>21</v>
          </cell>
          <cell r="G32">
            <v>21</v>
          </cell>
          <cell r="L32">
            <v>15.5</v>
          </cell>
          <cell r="M32">
            <v>16</v>
          </cell>
        </row>
        <row r="33">
          <cell r="F33">
            <v>17</v>
          </cell>
          <cell r="G33">
            <v>17</v>
          </cell>
          <cell r="L33">
            <v>1</v>
          </cell>
          <cell r="M33">
            <v>1</v>
          </cell>
        </row>
        <row r="34">
          <cell r="F34">
            <v>77</v>
          </cell>
          <cell r="G34">
            <v>77</v>
          </cell>
          <cell r="L34">
            <v>7.5</v>
          </cell>
          <cell r="M34">
            <v>7</v>
          </cell>
        </row>
        <row r="35">
          <cell r="F35">
            <v>34.5</v>
          </cell>
          <cell r="G35">
            <v>35</v>
          </cell>
          <cell r="L35">
            <v>11</v>
          </cell>
          <cell r="M35">
            <v>11</v>
          </cell>
        </row>
        <row r="36">
          <cell r="F36">
            <v>61.5</v>
          </cell>
          <cell r="G36">
            <v>62</v>
          </cell>
          <cell r="L36">
            <v>30.25</v>
          </cell>
          <cell r="M36">
            <v>30</v>
          </cell>
        </row>
        <row r="39">
          <cell r="F39">
            <v>1</v>
          </cell>
          <cell r="G39">
            <v>1</v>
          </cell>
          <cell r="L39">
            <v>15</v>
          </cell>
          <cell r="M39">
            <v>15</v>
          </cell>
        </row>
        <row r="42">
          <cell r="F42">
            <v>61</v>
          </cell>
          <cell r="G42">
            <v>61</v>
          </cell>
          <cell r="L42">
            <v>32</v>
          </cell>
          <cell r="M42">
            <v>32</v>
          </cell>
        </row>
        <row r="45">
          <cell r="F45">
            <v>105</v>
          </cell>
          <cell r="G45">
            <v>105</v>
          </cell>
          <cell r="L45">
            <v>68.625</v>
          </cell>
          <cell r="M45">
            <v>69</v>
          </cell>
        </row>
        <row r="46">
          <cell r="F46">
            <v>146.5</v>
          </cell>
          <cell r="G46">
            <v>146</v>
          </cell>
          <cell r="L46">
            <v>19</v>
          </cell>
          <cell r="M46">
            <v>19</v>
          </cell>
        </row>
        <row r="51">
          <cell r="F51">
            <v>30</v>
          </cell>
          <cell r="G51">
            <v>30</v>
          </cell>
          <cell r="L51">
            <v>0</v>
          </cell>
          <cell r="M51">
            <v>0</v>
          </cell>
        </row>
        <row r="52">
          <cell r="F52">
            <v>233</v>
          </cell>
          <cell r="G52">
            <v>233</v>
          </cell>
          <cell r="L52">
            <v>0</v>
          </cell>
          <cell r="M52">
            <v>0</v>
          </cell>
        </row>
        <row r="53">
          <cell r="F53">
            <v>0</v>
          </cell>
          <cell r="G53">
            <v>0</v>
          </cell>
          <cell r="L53">
            <v>0</v>
          </cell>
          <cell r="M5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D1" zoomScale="75" zoomScaleNormal="75" workbookViewId="0">
      <selection activeCell="E24" sqref="E24"/>
    </sheetView>
  </sheetViews>
  <sheetFormatPr defaultRowHeight="15.75" x14ac:dyDescent="0.25"/>
  <cols>
    <col min="1" max="1" width="14.33203125" style="1267" customWidth="1"/>
    <col min="2" max="2" width="121" style="1267" customWidth="1"/>
    <col min="3" max="3" width="37.6640625" style="1267" customWidth="1"/>
    <col min="4" max="4" width="35.83203125" style="1267" customWidth="1"/>
    <col min="5" max="5" width="35.83203125" style="1268" customWidth="1"/>
    <col min="6" max="6" width="14.33203125" style="1268" customWidth="1"/>
    <col min="7" max="7" width="121" style="1267" customWidth="1"/>
    <col min="8" max="8" width="37.1640625" style="1267" customWidth="1"/>
    <col min="9" max="9" width="35.83203125" style="1267" customWidth="1"/>
    <col min="10" max="10" width="35.83203125" style="1268" customWidth="1"/>
    <col min="11" max="12" width="18.1640625" style="2080" customWidth="1"/>
    <col min="13" max="13" width="15" style="2080" bestFit="1" customWidth="1"/>
    <col min="14" max="14" width="17.5" style="2080" customWidth="1"/>
    <col min="15" max="36" width="9.33203125" style="2080"/>
    <col min="37" max="256" width="9.33203125" style="1267"/>
    <col min="257" max="257" width="14.33203125" style="1267" customWidth="1"/>
    <col min="258" max="258" width="121" style="1267" customWidth="1"/>
    <col min="259" max="259" width="37.6640625" style="1267" customWidth="1"/>
    <col min="260" max="261" width="35.83203125" style="1267" customWidth="1"/>
    <col min="262" max="262" width="14.33203125" style="1267" customWidth="1"/>
    <col min="263" max="263" width="121" style="1267" customWidth="1"/>
    <col min="264" max="264" width="37.1640625" style="1267" customWidth="1"/>
    <col min="265" max="266" width="35.83203125" style="1267" customWidth="1"/>
    <col min="267" max="268" width="18.1640625" style="1267" customWidth="1"/>
    <col min="269" max="269" width="15" style="1267" bestFit="1" customWidth="1"/>
    <col min="270" max="270" width="17.5" style="1267" customWidth="1"/>
    <col min="271" max="512" width="9.33203125" style="1267"/>
    <col min="513" max="513" width="14.33203125" style="1267" customWidth="1"/>
    <col min="514" max="514" width="121" style="1267" customWidth="1"/>
    <col min="515" max="515" width="37.6640625" style="1267" customWidth="1"/>
    <col min="516" max="517" width="35.83203125" style="1267" customWidth="1"/>
    <col min="518" max="518" width="14.33203125" style="1267" customWidth="1"/>
    <col min="519" max="519" width="121" style="1267" customWidth="1"/>
    <col min="520" max="520" width="37.1640625" style="1267" customWidth="1"/>
    <col min="521" max="522" width="35.83203125" style="1267" customWidth="1"/>
    <col min="523" max="524" width="18.1640625" style="1267" customWidth="1"/>
    <col min="525" max="525" width="15" style="1267" bestFit="1" customWidth="1"/>
    <col min="526" max="526" width="17.5" style="1267" customWidth="1"/>
    <col min="527" max="768" width="9.33203125" style="1267"/>
    <col min="769" max="769" width="14.33203125" style="1267" customWidth="1"/>
    <col min="770" max="770" width="121" style="1267" customWidth="1"/>
    <col min="771" max="771" width="37.6640625" style="1267" customWidth="1"/>
    <col min="772" max="773" width="35.83203125" style="1267" customWidth="1"/>
    <col min="774" max="774" width="14.33203125" style="1267" customWidth="1"/>
    <col min="775" max="775" width="121" style="1267" customWidth="1"/>
    <col min="776" max="776" width="37.1640625" style="1267" customWidth="1"/>
    <col min="777" max="778" width="35.83203125" style="1267" customWidth="1"/>
    <col min="779" max="780" width="18.1640625" style="1267" customWidth="1"/>
    <col min="781" max="781" width="15" style="1267" bestFit="1" customWidth="1"/>
    <col min="782" max="782" width="17.5" style="1267" customWidth="1"/>
    <col min="783" max="1024" width="9.33203125" style="1267"/>
    <col min="1025" max="1025" width="14.33203125" style="1267" customWidth="1"/>
    <col min="1026" max="1026" width="121" style="1267" customWidth="1"/>
    <col min="1027" max="1027" width="37.6640625" style="1267" customWidth="1"/>
    <col min="1028" max="1029" width="35.83203125" style="1267" customWidth="1"/>
    <col min="1030" max="1030" width="14.33203125" style="1267" customWidth="1"/>
    <col min="1031" max="1031" width="121" style="1267" customWidth="1"/>
    <col min="1032" max="1032" width="37.1640625" style="1267" customWidth="1"/>
    <col min="1033" max="1034" width="35.83203125" style="1267" customWidth="1"/>
    <col min="1035" max="1036" width="18.1640625" style="1267" customWidth="1"/>
    <col min="1037" max="1037" width="15" style="1267" bestFit="1" customWidth="1"/>
    <col min="1038" max="1038" width="17.5" style="1267" customWidth="1"/>
    <col min="1039" max="1280" width="9.33203125" style="1267"/>
    <col min="1281" max="1281" width="14.33203125" style="1267" customWidth="1"/>
    <col min="1282" max="1282" width="121" style="1267" customWidth="1"/>
    <col min="1283" max="1283" width="37.6640625" style="1267" customWidth="1"/>
    <col min="1284" max="1285" width="35.83203125" style="1267" customWidth="1"/>
    <col min="1286" max="1286" width="14.33203125" style="1267" customWidth="1"/>
    <col min="1287" max="1287" width="121" style="1267" customWidth="1"/>
    <col min="1288" max="1288" width="37.1640625" style="1267" customWidth="1"/>
    <col min="1289" max="1290" width="35.83203125" style="1267" customWidth="1"/>
    <col min="1291" max="1292" width="18.1640625" style="1267" customWidth="1"/>
    <col min="1293" max="1293" width="15" style="1267" bestFit="1" customWidth="1"/>
    <col min="1294" max="1294" width="17.5" style="1267" customWidth="1"/>
    <col min="1295" max="1536" width="9.33203125" style="1267"/>
    <col min="1537" max="1537" width="14.33203125" style="1267" customWidth="1"/>
    <col min="1538" max="1538" width="121" style="1267" customWidth="1"/>
    <col min="1539" max="1539" width="37.6640625" style="1267" customWidth="1"/>
    <col min="1540" max="1541" width="35.83203125" style="1267" customWidth="1"/>
    <col min="1542" max="1542" width="14.33203125" style="1267" customWidth="1"/>
    <col min="1543" max="1543" width="121" style="1267" customWidth="1"/>
    <col min="1544" max="1544" width="37.1640625" style="1267" customWidth="1"/>
    <col min="1545" max="1546" width="35.83203125" style="1267" customWidth="1"/>
    <col min="1547" max="1548" width="18.1640625" style="1267" customWidth="1"/>
    <col min="1549" max="1549" width="15" style="1267" bestFit="1" customWidth="1"/>
    <col min="1550" max="1550" width="17.5" style="1267" customWidth="1"/>
    <col min="1551" max="1792" width="9.33203125" style="1267"/>
    <col min="1793" max="1793" width="14.33203125" style="1267" customWidth="1"/>
    <col min="1794" max="1794" width="121" style="1267" customWidth="1"/>
    <col min="1795" max="1795" width="37.6640625" style="1267" customWidth="1"/>
    <col min="1796" max="1797" width="35.83203125" style="1267" customWidth="1"/>
    <col min="1798" max="1798" width="14.33203125" style="1267" customWidth="1"/>
    <col min="1799" max="1799" width="121" style="1267" customWidth="1"/>
    <col min="1800" max="1800" width="37.1640625" style="1267" customWidth="1"/>
    <col min="1801" max="1802" width="35.83203125" style="1267" customWidth="1"/>
    <col min="1803" max="1804" width="18.1640625" style="1267" customWidth="1"/>
    <col min="1805" max="1805" width="15" style="1267" bestFit="1" customWidth="1"/>
    <col min="1806" max="1806" width="17.5" style="1267" customWidth="1"/>
    <col min="1807" max="2048" width="9.33203125" style="1267"/>
    <col min="2049" max="2049" width="14.33203125" style="1267" customWidth="1"/>
    <col min="2050" max="2050" width="121" style="1267" customWidth="1"/>
    <col min="2051" max="2051" width="37.6640625" style="1267" customWidth="1"/>
    <col min="2052" max="2053" width="35.83203125" style="1267" customWidth="1"/>
    <col min="2054" max="2054" width="14.33203125" style="1267" customWidth="1"/>
    <col min="2055" max="2055" width="121" style="1267" customWidth="1"/>
    <col min="2056" max="2056" width="37.1640625" style="1267" customWidth="1"/>
    <col min="2057" max="2058" width="35.83203125" style="1267" customWidth="1"/>
    <col min="2059" max="2060" width="18.1640625" style="1267" customWidth="1"/>
    <col min="2061" max="2061" width="15" style="1267" bestFit="1" customWidth="1"/>
    <col min="2062" max="2062" width="17.5" style="1267" customWidth="1"/>
    <col min="2063" max="2304" width="9.33203125" style="1267"/>
    <col min="2305" max="2305" width="14.33203125" style="1267" customWidth="1"/>
    <col min="2306" max="2306" width="121" style="1267" customWidth="1"/>
    <col min="2307" max="2307" width="37.6640625" style="1267" customWidth="1"/>
    <col min="2308" max="2309" width="35.83203125" style="1267" customWidth="1"/>
    <col min="2310" max="2310" width="14.33203125" style="1267" customWidth="1"/>
    <col min="2311" max="2311" width="121" style="1267" customWidth="1"/>
    <col min="2312" max="2312" width="37.1640625" style="1267" customWidth="1"/>
    <col min="2313" max="2314" width="35.83203125" style="1267" customWidth="1"/>
    <col min="2315" max="2316" width="18.1640625" style="1267" customWidth="1"/>
    <col min="2317" max="2317" width="15" style="1267" bestFit="1" customWidth="1"/>
    <col min="2318" max="2318" width="17.5" style="1267" customWidth="1"/>
    <col min="2319" max="2560" width="9.33203125" style="1267"/>
    <col min="2561" max="2561" width="14.33203125" style="1267" customWidth="1"/>
    <col min="2562" max="2562" width="121" style="1267" customWidth="1"/>
    <col min="2563" max="2563" width="37.6640625" style="1267" customWidth="1"/>
    <col min="2564" max="2565" width="35.83203125" style="1267" customWidth="1"/>
    <col min="2566" max="2566" width="14.33203125" style="1267" customWidth="1"/>
    <col min="2567" max="2567" width="121" style="1267" customWidth="1"/>
    <col min="2568" max="2568" width="37.1640625" style="1267" customWidth="1"/>
    <col min="2569" max="2570" width="35.83203125" style="1267" customWidth="1"/>
    <col min="2571" max="2572" width="18.1640625" style="1267" customWidth="1"/>
    <col min="2573" max="2573" width="15" style="1267" bestFit="1" customWidth="1"/>
    <col min="2574" max="2574" width="17.5" style="1267" customWidth="1"/>
    <col min="2575" max="2816" width="9.33203125" style="1267"/>
    <col min="2817" max="2817" width="14.33203125" style="1267" customWidth="1"/>
    <col min="2818" max="2818" width="121" style="1267" customWidth="1"/>
    <col min="2819" max="2819" width="37.6640625" style="1267" customWidth="1"/>
    <col min="2820" max="2821" width="35.83203125" style="1267" customWidth="1"/>
    <col min="2822" max="2822" width="14.33203125" style="1267" customWidth="1"/>
    <col min="2823" max="2823" width="121" style="1267" customWidth="1"/>
    <col min="2824" max="2824" width="37.1640625" style="1267" customWidth="1"/>
    <col min="2825" max="2826" width="35.83203125" style="1267" customWidth="1"/>
    <col min="2827" max="2828" width="18.1640625" style="1267" customWidth="1"/>
    <col min="2829" max="2829" width="15" style="1267" bestFit="1" customWidth="1"/>
    <col min="2830" max="2830" width="17.5" style="1267" customWidth="1"/>
    <col min="2831" max="3072" width="9.33203125" style="1267"/>
    <col min="3073" max="3073" width="14.33203125" style="1267" customWidth="1"/>
    <col min="3074" max="3074" width="121" style="1267" customWidth="1"/>
    <col min="3075" max="3075" width="37.6640625" style="1267" customWidth="1"/>
    <col min="3076" max="3077" width="35.83203125" style="1267" customWidth="1"/>
    <col min="3078" max="3078" width="14.33203125" style="1267" customWidth="1"/>
    <col min="3079" max="3079" width="121" style="1267" customWidth="1"/>
    <col min="3080" max="3080" width="37.1640625" style="1267" customWidth="1"/>
    <col min="3081" max="3082" width="35.83203125" style="1267" customWidth="1"/>
    <col min="3083" max="3084" width="18.1640625" style="1267" customWidth="1"/>
    <col min="3085" max="3085" width="15" style="1267" bestFit="1" customWidth="1"/>
    <col min="3086" max="3086" width="17.5" style="1267" customWidth="1"/>
    <col min="3087" max="3328" width="9.33203125" style="1267"/>
    <col min="3329" max="3329" width="14.33203125" style="1267" customWidth="1"/>
    <col min="3330" max="3330" width="121" style="1267" customWidth="1"/>
    <col min="3331" max="3331" width="37.6640625" style="1267" customWidth="1"/>
    <col min="3332" max="3333" width="35.83203125" style="1267" customWidth="1"/>
    <col min="3334" max="3334" width="14.33203125" style="1267" customWidth="1"/>
    <col min="3335" max="3335" width="121" style="1267" customWidth="1"/>
    <col min="3336" max="3336" width="37.1640625" style="1267" customWidth="1"/>
    <col min="3337" max="3338" width="35.83203125" style="1267" customWidth="1"/>
    <col min="3339" max="3340" width="18.1640625" style="1267" customWidth="1"/>
    <col min="3341" max="3341" width="15" style="1267" bestFit="1" customWidth="1"/>
    <col min="3342" max="3342" width="17.5" style="1267" customWidth="1"/>
    <col min="3343" max="3584" width="9.33203125" style="1267"/>
    <col min="3585" max="3585" width="14.33203125" style="1267" customWidth="1"/>
    <col min="3586" max="3586" width="121" style="1267" customWidth="1"/>
    <col min="3587" max="3587" width="37.6640625" style="1267" customWidth="1"/>
    <col min="3588" max="3589" width="35.83203125" style="1267" customWidth="1"/>
    <col min="3590" max="3590" width="14.33203125" style="1267" customWidth="1"/>
    <col min="3591" max="3591" width="121" style="1267" customWidth="1"/>
    <col min="3592" max="3592" width="37.1640625" style="1267" customWidth="1"/>
    <col min="3593" max="3594" width="35.83203125" style="1267" customWidth="1"/>
    <col min="3595" max="3596" width="18.1640625" style="1267" customWidth="1"/>
    <col min="3597" max="3597" width="15" style="1267" bestFit="1" customWidth="1"/>
    <col min="3598" max="3598" width="17.5" style="1267" customWidth="1"/>
    <col min="3599" max="3840" width="9.33203125" style="1267"/>
    <col min="3841" max="3841" width="14.33203125" style="1267" customWidth="1"/>
    <col min="3842" max="3842" width="121" style="1267" customWidth="1"/>
    <col min="3843" max="3843" width="37.6640625" style="1267" customWidth="1"/>
    <col min="3844" max="3845" width="35.83203125" style="1267" customWidth="1"/>
    <col min="3846" max="3846" width="14.33203125" style="1267" customWidth="1"/>
    <col min="3847" max="3847" width="121" style="1267" customWidth="1"/>
    <col min="3848" max="3848" width="37.1640625" style="1267" customWidth="1"/>
    <col min="3849" max="3850" width="35.83203125" style="1267" customWidth="1"/>
    <col min="3851" max="3852" width="18.1640625" style="1267" customWidth="1"/>
    <col min="3853" max="3853" width="15" style="1267" bestFit="1" customWidth="1"/>
    <col min="3854" max="3854" width="17.5" style="1267" customWidth="1"/>
    <col min="3855" max="4096" width="9.33203125" style="1267"/>
    <col min="4097" max="4097" width="14.33203125" style="1267" customWidth="1"/>
    <col min="4098" max="4098" width="121" style="1267" customWidth="1"/>
    <col min="4099" max="4099" width="37.6640625" style="1267" customWidth="1"/>
    <col min="4100" max="4101" width="35.83203125" style="1267" customWidth="1"/>
    <col min="4102" max="4102" width="14.33203125" style="1267" customWidth="1"/>
    <col min="4103" max="4103" width="121" style="1267" customWidth="1"/>
    <col min="4104" max="4104" width="37.1640625" style="1267" customWidth="1"/>
    <col min="4105" max="4106" width="35.83203125" style="1267" customWidth="1"/>
    <col min="4107" max="4108" width="18.1640625" style="1267" customWidth="1"/>
    <col min="4109" max="4109" width="15" style="1267" bestFit="1" customWidth="1"/>
    <col min="4110" max="4110" width="17.5" style="1267" customWidth="1"/>
    <col min="4111" max="4352" width="9.33203125" style="1267"/>
    <col min="4353" max="4353" width="14.33203125" style="1267" customWidth="1"/>
    <col min="4354" max="4354" width="121" style="1267" customWidth="1"/>
    <col min="4355" max="4355" width="37.6640625" style="1267" customWidth="1"/>
    <col min="4356" max="4357" width="35.83203125" style="1267" customWidth="1"/>
    <col min="4358" max="4358" width="14.33203125" style="1267" customWidth="1"/>
    <col min="4359" max="4359" width="121" style="1267" customWidth="1"/>
    <col min="4360" max="4360" width="37.1640625" style="1267" customWidth="1"/>
    <col min="4361" max="4362" width="35.83203125" style="1267" customWidth="1"/>
    <col min="4363" max="4364" width="18.1640625" style="1267" customWidth="1"/>
    <col min="4365" max="4365" width="15" style="1267" bestFit="1" customWidth="1"/>
    <col min="4366" max="4366" width="17.5" style="1267" customWidth="1"/>
    <col min="4367" max="4608" width="9.33203125" style="1267"/>
    <col min="4609" max="4609" width="14.33203125" style="1267" customWidth="1"/>
    <col min="4610" max="4610" width="121" style="1267" customWidth="1"/>
    <col min="4611" max="4611" width="37.6640625" style="1267" customWidth="1"/>
    <col min="4612" max="4613" width="35.83203125" style="1267" customWidth="1"/>
    <col min="4614" max="4614" width="14.33203125" style="1267" customWidth="1"/>
    <col min="4615" max="4615" width="121" style="1267" customWidth="1"/>
    <col min="4616" max="4616" width="37.1640625" style="1267" customWidth="1"/>
    <col min="4617" max="4618" width="35.83203125" style="1267" customWidth="1"/>
    <col min="4619" max="4620" width="18.1640625" style="1267" customWidth="1"/>
    <col min="4621" max="4621" width="15" style="1267" bestFit="1" customWidth="1"/>
    <col min="4622" max="4622" width="17.5" style="1267" customWidth="1"/>
    <col min="4623" max="4864" width="9.33203125" style="1267"/>
    <col min="4865" max="4865" width="14.33203125" style="1267" customWidth="1"/>
    <col min="4866" max="4866" width="121" style="1267" customWidth="1"/>
    <col min="4867" max="4867" width="37.6640625" style="1267" customWidth="1"/>
    <col min="4868" max="4869" width="35.83203125" style="1267" customWidth="1"/>
    <col min="4870" max="4870" width="14.33203125" style="1267" customWidth="1"/>
    <col min="4871" max="4871" width="121" style="1267" customWidth="1"/>
    <col min="4872" max="4872" width="37.1640625" style="1267" customWidth="1"/>
    <col min="4873" max="4874" width="35.83203125" style="1267" customWidth="1"/>
    <col min="4875" max="4876" width="18.1640625" style="1267" customWidth="1"/>
    <col min="4877" max="4877" width="15" style="1267" bestFit="1" customWidth="1"/>
    <col min="4878" max="4878" width="17.5" style="1267" customWidth="1"/>
    <col min="4879" max="5120" width="9.33203125" style="1267"/>
    <col min="5121" max="5121" width="14.33203125" style="1267" customWidth="1"/>
    <col min="5122" max="5122" width="121" style="1267" customWidth="1"/>
    <col min="5123" max="5123" width="37.6640625" style="1267" customWidth="1"/>
    <col min="5124" max="5125" width="35.83203125" style="1267" customWidth="1"/>
    <col min="5126" max="5126" width="14.33203125" style="1267" customWidth="1"/>
    <col min="5127" max="5127" width="121" style="1267" customWidth="1"/>
    <col min="5128" max="5128" width="37.1640625" style="1267" customWidth="1"/>
    <col min="5129" max="5130" width="35.83203125" style="1267" customWidth="1"/>
    <col min="5131" max="5132" width="18.1640625" style="1267" customWidth="1"/>
    <col min="5133" max="5133" width="15" style="1267" bestFit="1" customWidth="1"/>
    <col min="5134" max="5134" width="17.5" style="1267" customWidth="1"/>
    <col min="5135" max="5376" width="9.33203125" style="1267"/>
    <col min="5377" max="5377" width="14.33203125" style="1267" customWidth="1"/>
    <col min="5378" max="5378" width="121" style="1267" customWidth="1"/>
    <col min="5379" max="5379" width="37.6640625" style="1267" customWidth="1"/>
    <col min="5380" max="5381" width="35.83203125" style="1267" customWidth="1"/>
    <col min="5382" max="5382" width="14.33203125" style="1267" customWidth="1"/>
    <col min="5383" max="5383" width="121" style="1267" customWidth="1"/>
    <col min="5384" max="5384" width="37.1640625" style="1267" customWidth="1"/>
    <col min="5385" max="5386" width="35.83203125" style="1267" customWidth="1"/>
    <col min="5387" max="5388" width="18.1640625" style="1267" customWidth="1"/>
    <col min="5389" max="5389" width="15" style="1267" bestFit="1" customWidth="1"/>
    <col min="5390" max="5390" width="17.5" style="1267" customWidth="1"/>
    <col min="5391" max="5632" width="9.33203125" style="1267"/>
    <col min="5633" max="5633" width="14.33203125" style="1267" customWidth="1"/>
    <col min="5634" max="5634" width="121" style="1267" customWidth="1"/>
    <col min="5635" max="5635" width="37.6640625" style="1267" customWidth="1"/>
    <col min="5636" max="5637" width="35.83203125" style="1267" customWidth="1"/>
    <col min="5638" max="5638" width="14.33203125" style="1267" customWidth="1"/>
    <col min="5639" max="5639" width="121" style="1267" customWidth="1"/>
    <col min="5640" max="5640" width="37.1640625" style="1267" customWidth="1"/>
    <col min="5641" max="5642" width="35.83203125" style="1267" customWidth="1"/>
    <col min="5643" max="5644" width="18.1640625" style="1267" customWidth="1"/>
    <col min="5645" max="5645" width="15" style="1267" bestFit="1" customWidth="1"/>
    <col min="5646" max="5646" width="17.5" style="1267" customWidth="1"/>
    <col min="5647" max="5888" width="9.33203125" style="1267"/>
    <col min="5889" max="5889" width="14.33203125" style="1267" customWidth="1"/>
    <col min="5890" max="5890" width="121" style="1267" customWidth="1"/>
    <col min="5891" max="5891" width="37.6640625" style="1267" customWidth="1"/>
    <col min="5892" max="5893" width="35.83203125" style="1267" customWidth="1"/>
    <col min="5894" max="5894" width="14.33203125" style="1267" customWidth="1"/>
    <col min="5895" max="5895" width="121" style="1267" customWidth="1"/>
    <col min="5896" max="5896" width="37.1640625" style="1267" customWidth="1"/>
    <col min="5897" max="5898" width="35.83203125" style="1267" customWidth="1"/>
    <col min="5899" max="5900" width="18.1640625" style="1267" customWidth="1"/>
    <col min="5901" max="5901" width="15" style="1267" bestFit="1" customWidth="1"/>
    <col min="5902" max="5902" width="17.5" style="1267" customWidth="1"/>
    <col min="5903" max="6144" width="9.33203125" style="1267"/>
    <col min="6145" max="6145" width="14.33203125" style="1267" customWidth="1"/>
    <col min="6146" max="6146" width="121" style="1267" customWidth="1"/>
    <col min="6147" max="6147" width="37.6640625" style="1267" customWidth="1"/>
    <col min="6148" max="6149" width="35.83203125" style="1267" customWidth="1"/>
    <col min="6150" max="6150" width="14.33203125" style="1267" customWidth="1"/>
    <col min="6151" max="6151" width="121" style="1267" customWidth="1"/>
    <col min="6152" max="6152" width="37.1640625" style="1267" customWidth="1"/>
    <col min="6153" max="6154" width="35.83203125" style="1267" customWidth="1"/>
    <col min="6155" max="6156" width="18.1640625" style="1267" customWidth="1"/>
    <col min="6157" max="6157" width="15" style="1267" bestFit="1" customWidth="1"/>
    <col min="6158" max="6158" width="17.5" style="1267" customWidth="1"/>
    <col min="6159" max="6400" width="9.33203125" style="1267"/>
    <col min="6401" max="6401" width="14.33203125" style="1267" customWidth="1"/>
    <col min="6402" max="6402" width="121" style="1267" customWidth="1"/>
    <col min="6403" max="6403" width="37.6640625" style="1267" customWidth="1"/>
    <col min="6404" max="6405" width="35.83203125" style="1267" customWidth="1"/>
    <col min="6406" max="6406" width="14.33203125" style="1267" customWidth="1"/>
    <col min="6407" max="6407" width="121" style="1267" customWidth="1"/>
    <col min="6408" max="6408" width="37.1640625" style="1267" customWidth="1"/>
    <col min="6409" max="6410" width="35.83203125" style="1267" customWidth="1"/>
    <col min="6411" max="6412" width="18.1640625" style="1267" customWidth="1"/>
    <col min="6413" max="6413" width="15" style="1267" bestFit="1" customWidth="1"/>
    <col min="6414" max="6414" width="17.5" style="1267" customWidth="1"/>
    <col min="6415" max="6656" width="9.33203125" style="1267"/>
    <col min="6657" max="6657" width="14.33203125" style="1267" customWidth="1"/>
    <col min="6658" max="6658" width="121" style="1267" customWidth="1"/>
    <col min="6659" max="6659" width="37.6640625" style="1267" customWidth="1"/>
    <col min="6660" max="6661" width="35.83203125" style="1267" customWidth="1"/>
    <col min="6662" max="6662" width="14.33203125" style="1267" customWidth="1"/>
    <col min="6663" max="6663" width="121" style="1267" customWidth="1"/>
    <col min="6664" max="6664" width="37.1640625" style="1267" customWidth="1"/>
    <col min="6665" max="6666" width="35.83203125" style="1267" customWidth="1"/>
    <col min="6667" max="6668" width="18.1640625" style="1267" customWidth="1"/>
    <col min="6669" max="6669" width="15" style="1267" bestFit="1" customWidth="1"/>
    <col min="6670" max="6670" width="17.5" style="1267" customWidth="1"/>
    <col min="6671" max="6912" width="9.33203125" style="1267"/>
    <col min="6913" max="6913" width="14.33203125" style="1267" customWidth="1"/>
    <col min="6914" max="6914" width="121" style="1267" customWidth="1"/>
    <col min="6915" max="6915" width="37.6640625" style="1267" customWidth="1"/>
    <col min="6916" max="6917" width="35.83203125" style="1267" customWidth="1"/>
    <col min="6918" max="6918" width="14.33203125" style="1267" customWidth="1"/>
    <col min="6919" max="6919" width="121" style="1267" customWidth="1"/>
    <col min="6920" max="6920" width="37.1640625" style="1267" customWidth="1"/>
    <col min="6921" max="6922" width="35.83203125" style="1267" customWidth="1"/>
    <col min="6923" max="6924" width="18.1640625" style="1267" customWidth="1"/>
    <col min="6925" max="6925" width="15" style="1267" bestFit="1" customWidth="1"/>
    <col min="6926" max="6926" width="17.5" style="1267" customWidth="1"/>
    <col min="6927" max="7168" width="9.33203125" style="1267"/>
    <col min="7169" max="7169" width="14.33203125" style="1267" customWidth="1"/>
    <col min="7170" max="7170" width="121" style="1267" customWidth="1"/>
    <col min="7171" max="7171" width="37.6640625" style="1267" customWidth="1"/>
    <col min="7172" max="7173" width="35.83203125" style="1267" customWidth="1"/>
    <col min="7174" max="7174" width="14.33203125" style="1267" customWidth="1"/>
    <col min="7175" max="7175" width="121" style="1267" customWidth="1"/>
    <col min="7176" max="7176" width="37.1640625" style="1267" customWidth="1"/>
    <col min="7177" max="7178" width="35.83203125" style="1267" customWidth="1"/>
    <col min="7179" max="7180" width="18.1640625" style="1267" customWidth="1"/>
    <col min="7181" max="7181" width="15" style="1267" bestFit="1" customWidth="1"/>
    <col min="7182" max="7182" width="17.5" style="1267" customWidth="1"/>
    <col min="7183" max="7424" width="9.33203125" style="1267"/>
    <col min="7425" max="7425" width="14.33203125" style="1267" customWidth="1"/>
    <col min="7426" max="7426" width="121" style="1267" customWidth="1"/>
    <col min="7427" max="7427" width="37.6640625" style="1267" customWidth="1"/>
    <col min="7428" max="7429" width="35.83203125" style="1267" customWidth="1"/>
    <col min="7430" max="7430" width="14.33203125" style="1267" customWidth="1"/>
    <col min="7431" max="7431" width="121" style="1267" customWidth="1"/>
    <col min="7432" max="7432" width="37.1640625" style="1267" customWidth="1"/>
    <col min="7433" max="7434" width="35.83203125" style="1267" customWidth="1"/>
    <col min="7435" max="7436" width="18.1640625" style="1267" customWidth="1"/>
    <col min="7437" max="7437" width="15" style="1267" bestFit="1" customWidth="1"/>
    <col min="7438" max="7438" width="17.5" style="1267" customWidth="1"/>
    <col min="7439" max="7680" width="9.33203125" style="1267"/>
    <col min="7681" max="7681" width="14.33203125" style="1267" customWidth="1"/>
    <col min="7682" max="7682" width="121" style="1267" customWidth="1"/>
    <col min="7683" max="7683" width="37.6640625" style="1267" customWidth="1"/>
    <col min="7684" max="7685" width="35.83203125" style="1267" customWidth="1"/>
    <col min="7686" max="7686" width="14.33203125" style="1267" customWidth="1"/>
    <col min="7687" max="7687" width="121" style="1267" customWidth="1"/>
    <col min="7688" max="7688" width="37.1640625" style="1267" customWidth="1"/>
    <col min="7689" max="7690" width="35.83203125" style="1267" customWidth="1"/>
    <col min="7691" max="7692" width="18.1640625" style="1267" customWidth="1"/>
    <col min="7693" max="7693" width="15" style="1267" bestFit="1" customWidth="1"/>
    <col min="7694" max="7694" width="17.5" style="1267" customWidth="1"/>
    <col min="7695" max="7936" width="9.33203125" style="1267"/>
    <col min="7937" max="7937" width="14.33203125" style="1267" customWidth="1"/>
    <col min="7938" max="7938" width="121" style="1267" customWidth="1"/>
    <col min="7939" max="7939" width="37.6640625" style="1267" customWidth="1"/>
    <col min="7940" max="7941" width="35.83203125" style="1267" customWidth="1"/>
    <col min="7942" max="7942" width="14.33203125" style="1267" customWidth="1"/>
    <col min="7943" max="7943" width="121" style="1267" customWidth="1"/>
    <col min="7944" max="7944" width="37.1640625" style="1267" customWidth="1"/>
    <col min="7945" max="7946" width="35.83203125" style="1267" customWidth="1"/>
    <col min="7947" max="7948" width="18.1640625" style="1267" customWidth="1"/>
    <col min="7949" max="7949" width="15" style="1267" bestFit="1" customWidth="1"/>
    <col min="7950" max="7950" width="17.5" style="1267" customWidth="1"/>
    <col min="7951" max="8192" width="9.33203125" style="1267"/>
    <col min="8193" max="8193" width="14.33203125" style="1267" customWidth="1"/>
    <col min="8194" max="8194" width="121" style="1267" customWidth="1"/>
    <col min="8195" max="8195" width="37.6640625" style="1267" customWidth="1"/>
    <col min="8196" max="8197" width="35.83203125" style="1267" customWidth="1"/>
    <col min="8198" max="8198" width="14.33203125" style="1267" customWidth="1"/>
    <col min="8199" max="8199" width="121" style="1267" customWidth="1"/>
    <col min="8200" max="8200" width="37.1640625" style="1267" customWidth="1"/>
    <col min="8201" max="8202" width="35.83203125" style="1267" customWidth="1"/>
    <col min="8203" max="8204" width="18.1640625" style="1267" customWidth="1"/>
    <col min="8205" max="8205" width="15" style="1267" bestFit="1" customWidth="1"/>
    <col min="8206" max="8206" width="17.5" style="1267" customWidth="1"/>
    <col min="8207" max="8448" width="9.33203125" style="1267"/>
    <col min="8449" max="8449" width="14.33203125" style="1267" customWidth="1"/>
    <col min="8450" max="8450" width="121" style="1267" customWidth="1"/>
    <col min="8451" max="8451" width="37.6640625" style="1267" customWidth="1"/>
    <col min="8452" max="8453" width="35.83203125" style="1267" customWidth="1"/>
    <col min="8454" max="8454" width="14.33203125" style="1267" customWidth="1"/>
    <col min="8455" max="8455" width="121" style="1267" customWidth="1"/>
    <col min="8456" max="8456" width="37.1640625" style="1267" customWidth="1"/>
    <col min="8457" max="8458" width="35.83203125" style="1267" customWidth="1"/>
    <col min="8459" max="8460" width="18.1640625" style="1267" customWidth="1"/>
    <col min="8461" max="8461" width="15" style="1267" bestFit="1" customWidth="1"/>
    <col min="8462" max="8462" width="17.5" style="1267" customWidth="1"/>
    <col min="8463" max="8704" width="9.33203125" style="1267"/>
    <col min="8705" max="8705" width="14.33203125" style="1267" customWidth="1"/>
    <col min="8706" max="8706" width="121" style="1267" customWidth="1"/>
    <col min="8707" max="8707" width="37.6640625" style="1267" customWidth="1"/>
    <col min="8708" max="8709" width="35.83203125" style="1267" customWidth="1"/>
    <col min="8710" max="8710" width="14.33203125" style="1267" customWidth="1"/>
    <col min="8711" max="8711" width="121" style="1267" customWidth="1"/>
    <col min="8712" max="8712" width="37.1640625" style="1267" customWidth="1"/>
    <col min="8713" max="8714" width="35.83203125" style="1267" customWidth="1"/>
    <col min="8715" max="8716" width="18.1640625" style="1267" customWidth="1"/>
    <col min="8717" max="8717" width="15" style="1267" bestFit="1" customWidth="1"/>
    <col min="8718" max="8718" width="17.5" style="1267" customWidth="1"/>
    <col min="8719" max="8960" width="9.33203125" style="1267"/>
    <col min="8961" max="8961" width="14.33203125" style="1267" customWidth="1"/>
    <col min="8962" max="8962" width="121" style="1267" customWidth="1"/>
    <col min="8963" max="8963" width="37.6640625" style="1267" customWidth="1"/>
    <col min="8964" max="8965" width="35.83203125" style="1267" customWidth="1"/>
    <col min="8966" max="8966" width="14.33203125" style="1267" customWidth="1"/>
    <col min="8967" max="8967" width="121" style="1267" customWidth="1"/>
    <col min="8968" max="8968" width="37.1640625" style="1267" customWidth="1"/>
    <col min="8969" max="8970" width="35.83203125" style="1267" customWidth="1"/>
    <col min="8971" max="8972" width="18.1640625" style="1267" customWidth="1"/>
    <col min="8973" max="8973" width="15" style="1267" bestFit="1" customWidth="1"/>
    <col min="8974" max="8974" width="17.5" style="1267" customWidth="1"/>
    <col min="8975" max="9216" width="9.33203125" style="1267"/>
    <col min="9217" max="9217" width="14.33203125" style="1267" customWidth="1"/>
    <col min="9218" max="9218" width="121" style="1267" customWidth="1"/>
    <col min="9219" max="9219" width="37.6640625" style="1267" customWidth="1"/>
    <col min="9220" max="9221" width="35.83203125" style="1267" customWidth="1"/>
    <col min="9222" max="9222" width="14.33203125" style="1267" customWidth="1"/>
    <col min="9223" max="9223" width="121" style="1267" customWidth="1"/>
    <col min="9224" max="9224" width="37.1640625" style="1267" customWidth="1"/>
    <col min="9225" max="9226" width="35.83203125" style="1267" customWidth="1"/>
    <col min="9227" max="9228" width="18.1640625" style="1267" customWidth="1"/>
    <col min="9229" max="9229" width="15" style="1267" bestFit="1" customWidth="1"/>
    <col min="9230" max="9230" width="17.5" style="1267" customWidth="1"/>
    <col min="9231" max="9472" width="9.33203125" style="1267"/>
    <col min="9473" max="9473" width="14.33203125" style="1267" customWidth="1"/>
    <col min="9474" max="9474" width="121" style="1267" customWidth="1"/>
    <col min="9475" max="9475" width="37.6640625" style="1267" customWidth="1"/>
    <col min="9476" max="9477" width="35.83203125" style="1267" customWidth="1"/>
    <col min="9478" max="9478" width="14.33203125" style="1267" customWidth="1"/>
    <col min="9479" max="9479" width="121" style="1267" customWidth="1"/>
    <col min="9480" max="9480" width="37.1640625" style="1267" customWidth="1"/>
    <col min="9481" max="9482" width="35.83203125" style="1267" customWidth="1"/>
    <col min="9483" max="9484" width="18.1640625" style="1267" customWidth="1"/>
    <col min="9485" max="9485" width="15" style="1267" bestFit="1" customWidth="1"/>
    <col min="9486" max="9486" width="17.5" style="1267" customWidth="1"/>
    <col min="9487" max="9728" width="9.33203125" style="1267"/>
    <col min="9729" max="9729" width="14.33203125" style="1267" customWidth="1"/>
    <col min="9730" max="9730" width="121" style="1267" customWidth="1"/>
    <col min="9731" max="9731" width="37.6640625" style="1267" customWidth="1"/>
    <col min="9732" max="9733" width="35.83203125" style="1267" customWidth="1"/>
    <col min="9734" max="9734" width="14.33203125" style="1267" customWidth="1"/>
    <col min="9735" max="9735" width="121" style="1267" customWidth="1"/>
    <col min="9736" max="9736" width="37.1640625" style="1267" customWidth="1"/>
    <col min="9737" max="9738" width="35.83203125" style="1267" customWidth="1"/>
    <col min="9739" max="9740" width="18.1640625" style="1267" customWidth="1"/>
    <col min="9741" max="9741" width="15" style="1267" bestFit="1" customWidth="1"/>
    <col min="9742" max="9742" width="17.5" style="1267" customWidth="1"/>
    <col min="9743" max="9984" width="9.33203125" style="1267"/>
    <col min="9985" max="9985" width="14.33203125" style="1267" customWidth="1"/>
    <col min="9986" max="9986" width="121" style="1267" customWidth="1"/>
    <col min="9987" max="9987" width="37.6640625" style="1267" customWidth="1"/>
    <col min="9988" max="9989" width="35.83203125" style="1267" customWidth="1"/>
    <col min="9990" max="9990" width="14.33203125" style="1267" customWidth="1"/>
    <col min="9991" max="9991" width="121" style="1267" customWidth="1"/>
    <col min="9992" max="9992" width="37.1640625" style="1267" customWidth="1"/>
    <col min="9993" max="9994" width="35.83203125" style="1267" customWidth="1"/>
    <col min="9995" max="9996" width="18.1640625" style="1267" customWidth="1"/>
    <col min="9997" max="9997" width="15" style="1267" bestFit="1" customWidth="1"/>
    <col min="9998" max="9998" width="17.5" style="1267" customWidth="1"/>
    <col min="9999" max="10240" width="9.33203125" style="1267"/>
    <col min="10241" max="10241" width="14.33203125" style="1267" customWidth="1"/>
    <col min="10242" max="10242" width="121" style="1267" customWidth="1"/>
    <col min="10243" max="10243" width="37.6640625" style="1267" customWidth="1"/>
    <col min="10244" max="10245" width="35.83203125" style="1267" customWidth="1"/>
    <col min="10246" max="10246" width="14.33203125" style="1267" customWidth="1"/>
    <col min="10247" max="10247" width="121" style="1267" customWidth="1"/>
    <col min="10248" max="10248" width="37.1640625" style="1267" customWidth="1"/>
    <col min="10249" max="10250" width="35.83203125" style="1267" customWidth="1"/>
    <col min="10251" max="10252" width="18.1640625" style="1267" customWidth="1"/>
    <col min="10253" max="10253" width="15" style="1267" bestFit="1" customWidth="1"/>
    <col min="10254" max="10254" width="17.5" style="1267" customWidth="1"/>
    <col min="10255" max="10496" width="9.33203125" style="1267"/>
    <col min="10497" max="10497" width="14.33203125" style="1267" customWidth="1"/>
    <col min="10498" max="10498" width="121" style="1267" customWidth="1"/>
    <col min="10499" max="10499" width="37.6640625" style="1267" customWidth="1"/>
    <col min="10500" max="10501" width="35.83203125" style="1267" customWidth="1"/>
    <col min="10502" max="10502" width="14.33203125" style="1267" customWidth="1"/>
    <col min="10503" max="10503" width="121" style="1267" customWidth="1"/>
    <col min="10504" max="10504" width="37.1640625" style="1267" customWidth="1"/>
    <col min="10505" max="10506" width="35.83203125" style="1267" customWidth="1"/>
    <col min="10507" max="10508" width="18.1640625" style="1267" customWidth="1"/>
    <col min="10509" max="10509" width="15" style="1267" bestFit="1" customWidth="1"/>
    <col min="10510" max="10510" width="17.5" style="1267" customWidth="1"/>
    <col min="10511" max="10752" width="9.33203125" style="1267"/>
    <col min="10753" max="10753" width="14.33203125" style="1267" customWidth="1"/>
    <col min="10754" max="10754" width="121" style="1267" customWidth="1"/>
    <col min="10755" max="10755" width="37.6640625" style="1267" customWidth="1"/>
    <col min="10756" max="10757" width="35.83203125" style="1267" customWidth="1"/>
    <col min="10758" max="10758" width="14.33203125" style="1267" customWidth="1"/>
    <col min="10759" max="10759" width="121" style="1267" customWidth="1"/>
    <col min="10760" max="10760" width="37.1640625" style="1267" customWidth="1"/>
    <col min="10761" max="10762" width="35.83203125" style="1267" customWidth="1"/>
    <col min="10763" max="10764" width="18.1640625" style="1267" customWidth="1"/>
    <col min="10765" max="10765" width="15" style="1267" bestFit="1" customWidth="1"/>
    <col min="10766" max="10766" width="17.5" style="1267" customWidth="1"/>
    <col min="10767" max="11008" width="9.33203125" style="1267"/>
    <col min="11009" max="11009" width="14.33203125" style="1267" customWidth="1"/>
    <col min="11010" max="11010" width="121" style="1267" customWidth="1"/>
    <col min="11011" max="11011" width="37.6640625" style="1267" customWidth="1"/>
    <col min="11012" max="11013" width="35.83203125" style="1267" customWidth="1"/>
    <col min="11014" max="11014" width="14.33203125" style="1267" customWidth="1"/>
    <col min="11015" max="11015" width="121" style="1267" customWidth="1"/>
    <col min="11016" max="11016" width="37.1640625" style="1267" customWidth="1"/>
    <col min="11017" max="11018" width="35.83203125" style="1267" customWidth="1"/>
    <col min="11019" max="11020" width="18.1640625" style="1267" customWidth="1"/>
    <col min="11021" max="11021" width="15" style="1267" bestFit="1" customWidth="1"/>
    <col min="11022" max="11022" width="17.5" style="1267" customWidth="1"/>
    <col min="11023" max="11264" width="9.33203125" style="1267"/>
    <col min="11265" max="11265" width="14.33203125" style="1267" customWidth="1"/>
    <col min="11266" max="11266" width="121" style="1267" customWidth="1"/>
    <col min="11267" max="11267" width="37.6640625" style="1267" customWidth="1"/>
    <col min="11268" max="11269" width="35.83203125" style="1267" customWidth="1"/>
    <col min="11270" max="11270" width="14.33203125" style="1267" customWidth="1"/>
    <col min="11271" max="11271" width="121" style="1267" customWidth="1"/>
    <col min="11272" max="11272" width="37.1640625" style="1267" customWidth="1"/>
    <col min="11273" max="11274" width="35.83203125" style="1267" customWidth="1"/>
    <col min="11275" max="11276" width="18.1640625" style="1267" customWidth="1"/>
    <col min="11277" max="11277" width="15" style="1267" bestFit="1" customWidth="1"/>
    <col min="11278" max="11278" width="17.5" style="1267" customWidth="1"/>
    <col min="11279" max="11520" width="9.33203125" style="1267"/>
    <col min="11521" max="11521" width="14.33203125" style="1267" customWidth="1"/>
    <col min="11522" max="11522" width="121" style="1267" customWidth="1"/>
    <col min="11523" max="11523" width="37.6640625" style="1267" customWidth="1"/>
    <col min="11524" max="11525" width="35.83203125" style="1267" customWidth="1"/>
    <col min="11526" max="11526" width="14.33203125" style="1267" customWidth="1"/>
    <col min="11527" max="11527" width="121" style="1267" customWidth="1"/>
    <col min="11528" max="11528" width="37.1640625" style="1267" customWidth="1"/>
    <col min="11529" max="11530" width="35.83203125" style="1267" customWidth="1"/>
    <col min="11531" max="11532" width="18.1640625" style="1267" customWidth="1"/>
    <col min="11533" max="11533" width="15" style="1267" bestFit="1" customWidth="1"/>
    <col min="11534" max="11534" width="17.5" style="1267" customWidth="1"/>
    <col min="11535" max="11776" width="9.33203125" style="1267"/>
    <col min="11777" max="11777" width="14.33203125" style="1267" customWidth="1"/>
    <col min="11778" max="11778" width="121" style="1267" customWidth="1"/>
    <col min="11779" max="11779" width="37.6640625" style="1267" customWidth="1"/>
    <col min="11780" max="11781" width="35.83203125" style="1267" customWidth="1"/>
    <col min="11782" max="11782" width="14.33203125" style="1267" customWidth="1"/>
    <col min="11783" max="11783" width="121" style="1267" customWidth="1"/>
    <col min="11784" max="11784" width="37.1640625" style="1267" customWidth="1"/>
    <col min="11785" max="11786" width="35.83203125" style="1267" customWidth="1"/>
    <col min="11787" max="11788" width="18.1640625" style="1267" customWidth="1"/>
    <col min="11789" max="11789" width="15" style="1267" bestFit="1" customWidth="1"/>
    <col min="11790" max="11790" width="17.5" style="1267" customWidth="1"/>
    <col min="11791" max="12032" width="9.33203125" style="1267"/>
    <col min="12033" max="12033" width="14.33203125" style="1267" customWidth="1"/>
    <col min="12034" max="12034" width="121" style="1267" customWidth="1"/>
    <col min="12035" max="12035" width="37.6640625" style="1267" customWidth="1"/>
    <col min="12036" max="12037" width="35.83203125" style="1267" customWidth="1"/>
    <col min="12038" max="12038" width="14.33203125" style="1267" customWidth="1"/>
    <col min="12039" max="12039" width="121" style="1267" customWidth="1"/>
    <col min="12040" max="12040" width="37.1640625" style="1267" customWidth="1"/>
    <col min="12041" max="12042" width="35.83203125" style="1267" customWidth="1"/>
    <col min="12043" max="12044" width="18.1640625" style="1267" customWidth="1"/>
    <col min="12045" max="12045" width="15" style="1267" bestFit="1" customWidth="1"/>
    <col min="12046" max="12046" width="17.5" style="1267" customWidth="1"/>
    <col min="12047" max="12288" width="9.33203125" style="1267"/>
    <col min="12289" max="12289" width="14.33203125" style="1267" customWidth="1"/>
    <col min="12290" max="12290" width="121" style="1267" customWidth="1"/>
    <col min="12291" max="12291" width="37.6640625" style="1267" customWidth="1"/>
    <col min="12292" max="12293" width="35.83203125" style="1267" customWidth="1"/>
    <col min="12294" max="12294" width="14.33203125" style="1267" customWidth="1"/>
    <col min="12295" max="12295" width="121" style="1267" customWidth="1"/>
    <col min="12296" max="12296" width="37.1640625" style="1267" customWidth="1"/>
    <col min="12297" max="12298" width="35.83203125" style="1267" customWidth="1"/>
    <col min="12299" max="12300" width="18.1640625" style="1267" customWidth="1"/>
    <col min="12301" max="12301" width="15" style="1267" bestFit="1" customWidth="1"/>
    <col min="12302" max="12302" width="17.5" style="1267" customWidth="1"/>
    <col min="12303" max="12544" width="9.33203125" style="1267"/>
    <col min="12545" max="12545" width="14.33203125" style="1267" customWidth="1"/>
    <col min="12546" max="12546" width="121" style="1267" customWidth="1"/>
    <col min="12547" max="12547" width="37.6640625" style="1267" customWidth="1"/>
    <col min="12548" max="12549" width="35.83203125" style="1267" customWidth="1"/>
    <col min="12550" max="12550" width="14.33203125" style="1267" customWidth="1"/>
    <col min="12551" max="12551" width="121" style="1267" customWidth="1"/>
    <col min="12552" max="12552" width="37.1640625" style="1267" customWidth="1"/>
    <col min="12553" max="12554" width="35.83203125" style="1267" customWidth="1"/>
    <col min="12555" max="12556" width="18.1640625" style="1267" customWidth="1"/>
    <col min="12557" max="12557" width="15" style="1267" bestFit="1" customWidth="1"/>
    <col min="12558" max="12558" width="17.5" style="1267" customWidth="1"/>
    <col min="12559" max="12800" width="9.33203125" style="1267"/>
    <col min="12801" max="12801" width="14.33203125" style="1267" customWidth="1"/>
    <col min="12802" max="12802" width="121" style="1267" customWidth="1"/>
    <col min="12803" max="12803" width="37.6640625" style="1267" customWidth="1"/>
    <col min="12804" max="12805" width="35.83203125" style="1267" customWidth="1"/>
    <col min="12806" max="12806" width="14.33203125" style="1267" customWidth="1"/>
    <col min="12807" max="12807" width="121" style="1267" customWidth="1"/>
    <col min="12808" max="12808" width="37.1640625" style="1267" customWidth="1"/>
    <col min="12809" max="12810" width="35.83203125" style="1267" customWidth="1"/>
    <col min="12811" max="12812" width="18.1640625" style="1267" customWidth="1"/>
    <col min="12813" max="12813" width="15" style="1267" bestFit="1" customWidth="1"/>
    <col min="12814" max="12814" width="17.5" style="1267" customWidth="1"/>
    <col min="12815" max="13056" width="9.33203125" style="1267"/>
    <col min="13057" max="13057" width="14.33203125" style="1267" customWidth="1"/>
    <col min="13058" max="13058" width="121" style="1267" customWidth="1"/>
    <col min="13059" max="13059" width="37.6640625" style="1267" customWidth="1"/>
    <col min="13060" max="13061" width="35.83203125" style="1267" customWidth="1"/>
    <col min="13062" max="13062" width="14.33203125" style="1267" customWidth="1"/>
    <col min="13063" max="13063" width="121" style="1267" customWidth="1"/>
    <col min="13064" max="13064" width="37.1640625" style="1267" customWidth="1"/>
    <col min="13065" max="13066" width="35.83203125" style="1267" customWidth="1"/>
    <col min="13067" max="13068" width="18.1640625" style="1267" customWidth="1"/>
    <col min="13069" max="13069" width="15" style="1267" bestFit="1" customWidth="1"/>
    <col min="13070" max="13070" width="17.5" style="1267" customWidth="1"/>
    <col min="13071" max="13312" width="9.33203125" style="1267"/>
    <col min="13313" max="13313" width="14.33203125" style="1267" customWidth="1"/>
    <col min="13314" max="13314" width="121" style="1267" customWidth="1"/>
    <col min="13315" max="13315" width="37.6640625" style="1267" customWidth="1"/>
    <col min="13316" max="13317" width="35.83203125" style="1267" customWidth="1"/>
    <col min="13318" max="13318" width="14.33203125" style="1267" customWidth="1"/>
    <col min="13319" max="13319" width="121" style="1267" customWidth="1"/>
    <col min="13320" max="13320" width="37.1640625" style="1267" customWidth="1"/>
    <col min="13321" max="13322" width="35.83203125" style="1267" customWidth="1"/>
    <col min="13323" max="13324" width="18.1640625" style="1267" customWidth="1"/>
    <col min="13325" max="13325" width="15" style="1267" bestFit="1" customWidth="1"/>
    <col min="13326" max="13326" width="17.5" style="1267" customWidth="1"/>
    <col min="13327" max="13568" width="9.33203125" style="1267"/>
    <col min="13569" max="13569" width="14.33203125" style="1267" customWidth="1"/>
    <col min="13570" max="13570" width="121" style="1267" customWidth="1"/>
    <col min="13571" max="13571" width="37.6640625" style="1267" customWidth="1"/>
    <col min="13572" max="13573" width="35.83203125" style="1267" customWidth="1"/>
    <col min="13574" max="13574" width="14.33203125" style="1267" customWidth="1"/>
    <col min="13575" max="13575" width="121" style="1267" customWidth="1"/>
    <col min="13576" max="13576" width="37.1640625" style="1267" customWidth="1"/>
    <col min="13577" max="13578" width="35.83203125" style="1267" customWidth="1"/>
    <col min="13579" max="13580" width="18.1640625" style="1267" customWidth="1"/>
    <col min="13581" max="13581" width="15" style="1267" bestFit="1" customWidth="1"/>
    <col min="13582" max="13582" width="17.5" style="1267" customWidth="1"/>
    <col min="13583" max="13824" width="9.33203125" style="1267"/>
    <col min="13825" max="13825" width="14.33203125" style="1267" customWidth="1"/>
    <col min="13826" max="13826" width="121" style="1267" customWidth="1"/>
    <col min="13827" max="13827" width="37.6640625" style="1267" customWidth="1"/>
    <col min="13828" max="13829" width="35.83203125" style="1267" customWidth="1"/>
    <col min="13830" max="13830" width="14.33203125" style="1267" customWidth="1"/>
    <col min="13831" max="13831" width="121" style="1267" customWidth="1"/>
    <col min="13832" max="13832" width="37.1640625" style="1267" customWidth="1"/>
    <col min="13833" max="13834" width="35.83203125" style="1267" customWidth="1"/>
    <col min="13835" max="13836" width="18.1640625" style="1267" customWidth="1"/>
    <col min="13837" max="13837" width="15" style="1267" bestFit="1" customWidth="1"/>
    <col min="13838" max="13838" width="17.5" style="1267" customWidth="1"/>
    <col min="13839" max="14080" width="9.33203125" style="1267"/>
    <col min="14081" max="14081" width="14.33203125" style="1267" customWidth="1"/>
    <col min="14082" max="14082" width="121" style="1267" customWidth="1"/>
    <col min="14083" max="14083" width="37.6640625" style="1267" customWidth="1"/>
    <col min="14084" max="14085" width="35.83203125" style="1267" customWidth="1"/>
    <col min="14086" max="14086" width="14.33203125" style="1267" customWidth="1"/>
    <col min="14087" max="14087" width="121" style="1267" customWidth="1"/>
    <col min="14088" max="14088" width="37.1640625" style="1267" customWidth="1"/>
    <col min="14089" max="14090" width="35.83203125" style="1267" customWidth="1"/>
    <col min="14091" max="14092" width="18.1640625" style="1267" customWidth="1"/>
    <col min="14093" max="14093" width="15" style="1267" bestFit="1" customWidth="1"/>
    <col min="14094" max="14094" width="17.5" style="1267" customWidth="1"/>
    <col min="14095" max="14336" width="9.33203125" style="1267"/>
    <col min="14337" max="14337" width="14.33203125" style="1267" customWidth="1"/>
    <col min="14338" max="14338" width="121" style="1267" customWidth="1"/>
    <col min="14339" max="14339" width="37.6640625" style="1267" customWidth="1"/>
    <col min="14340" max="14341" width="35.83203125" style="1267" customWidth="1"/>
    <col min="14342" max="14342" width="14.33203125" style="1267" customWidth="1"/>
    <col min="14343" max="14343" width="121" style="1267" customWidth="1"/>
    <col min="14344" max="14344" width="37.1640625" style="1267" customWidth="1"/>
    <col min="14345" max="14346" width="35.83203125" style="1267" customWidth="1"/>
    <col min="14347" max="14348" width="18.1640625" style="1267" customWidth="1"/>
    <col min="14349" max="14349" width="15" style="1267" bestFit="1" customWidth="1"/>
    <col min="14350" max="14350" width="17.5" style="1267" customWidth="1"/>
    <col min="14351" max="14592" width="9.33203125" style="1267"/>
    <col min="14593" max="14593" width="14.33203125" style="1267" customWidth="1"/>
    <col min="14594" max="14594" width="121" style="1267" customWidth="1"/>
    <col min="14595" max="14595" width="37.6640625" style="1267" customWidth="1"/>
    <col min="14596" max="14597" width="35.83203125" style="1267" customWidth="1"/>
    <col min="14598" max="14598" width="14.33203125" style="1267" customWidth="1"/>
    <col min="14599" max="14599" width="121" style="1267" customWidth="1"/>
    <col min="14600" max="14600" width="37.1640625" style="1267" customWidth="1"/>
    <col min="14601" max="14602" width="35.83203125" style="1267" customWidth="1"/>
    <col min="14603" max="14604" width="18.1640625" style="1267" customWidth="1"/>
    <col min="14605" max="14605" width="15" style="1267" bestFit="1" customWidth="1"/>
    <col min="14606" max="14606" width="17.5" style="1267" customWidth="1"/>
    <col min="14607" max="14848" width="9.33203125" style="1267"/>
    <col min="14849" max="14849" width="14.33203125" style="1267" customWidth="1"/>
    <col min="14850" max="14850" width="121" style="1267" customWidth="1"/>
    <col min="14851" max="14851" width="37.6640625" style="1267" customWidth="1"/>
    <col min="14852" max="14853" width="35.83203125" style="1267" customWidth="1"/>
    <col min="14854" max="14854" width="14.33203125" style="1267" customWidth="1"/>
    <col min="14855" max="14855" width="121" style="1267" customWidth="1"/>
    <col min="14856" max="14856" width="37.1640625" style="1267" customWidth="1"/>
    <col min="14857" max="14858" width="35.83203125" style="1267" customWidth="1"/>
    <col min="14859" max="14860" width="18.1640625" style="1267" customWidth="1"/>
    <col min="14861" max="14861" width="15" style="1267" bestFit="1" customWidth="1"/>
    <col min="14862" max="14862" width="17.5" style="1267" customWidth="1"/>
    <col min="14863" max="15104" width="9.33203125" style="1267"/>
    <col min="15105" max="15105" width="14.33203125" style="1267" customWidth="1"/>
    <col min="15106" max="15106" width="121" style="1267" customWidth="1"/>
    <col min="15107" max="15107" width="37.6640625" style="1267" customWidth="1"/>
    <col min="15108" max="15109" width="35.83203125" style="1267" customWidth="1"/>
    <col min="15110" max="15110" width="14.33203125" style="1267" customWidth="1"/>
    <col min="15111" max="15111" width="121" style="1267" customWidth="1"/>
    <col min="15112" max="15112" width="37.1640625" style="1267" customWidth="1"/>
    <col min="15113" max="15114" width="35.83203125" style="1267" customWidth="1"/>
    <col min="15115" max="15116" width="18.1640625" style="1267" customWidth="1"/>
    <col min="15117" max="15117" width="15" style="1267" bestFit="1" customWidth="1"/>
    <col min="15118" max="15118" width="17.5" style="1267" customWidth="1"/>
    <col min="15119" max="15360" width="9.33203125" style="1267"/>
    <col min="15361" max="15361" width="14.33203125" style="1267" customWidth="1"/>
    <col min="15362" max="15362" width="121" style="1267" customWidth="1"/>
    <col min="15363" max="15363" width="37.6640625" style="1267" customWidth="1"/>
    <col min="15364" max="15365" width="35.83203125" style="1267" customWidth="1"/>
    <col min="15366" max="15366" width="14.33203125" style="1267" customWidth="1"/>
    <col min="15367" max="15367" width="121" style="1267" customWidth="1"/>
    <col min="15368" max="15368" width="37.1640625" style="1267" customWidth="1"/>
    <col min="15369" max="15370" width="35.83203125" style="1267" customWidth="1"/>
    <col min="15371" max="15372" width="18.1640625" style="1267" customWidth="1"/>
    <col min="15373" max="15373" width="15" style="1267" bestFit="1" customWidth="1"/>
    <col min="15374" max="15374" width="17.5" style="1267" customWidth="1"/>
    <col min="15375" max="15616" width="9.33203125" style="1267"/>
    <col min="15617" max="15617" width="14.33203125" style="1267" customWidth="1"/>
    <col min="15618" max="15618" width="121" style="1267" customWidth="1"/>
    <col min="15619" max="15619" width="37.6640625" style="1267" customWidth="1"/>
    <col min="15620" max="15621" width="35.83203125" style="1267" customWidth="1"/>
    <col min="15622" max="15622" width="14.33203125" style="1267" customWidth="1"/>
    <col min="15623" max="15623" width="121" style="1267" customWidth="1"/>
    <col min="15624" max="15624" width="37.1640625" style="1267" customWidth="1"/>
    <col min="15625" max="15626" width="35.83203125" style="1267" customWidth="1"/>
    <col min="15627" max="15628" width="18.1640625" style="1267" customWidth="1"/>
    <col min="15629" max="15629" width="15" style="1267" bestFit="1" customWidth="1"/>
    <col min="15630" max="15630" width="17.5" style="1267" customWidth="1"/>
    <col min="15631" max="15872" width="9.33203125" style="1267"/>
    <col min="15873" max="15873" width="14.33203125" style="1267" customWidth="1"/>
    <col min="15874" max="15874" width="121" style="1267" customWidth="1"/>
    <col min="15875" max="15875" width="37.6640625" style="1267" customWidth="1"/>
    <col min="15876" max="15877" width="35.83203125" style="1267" customWidth="1"/>
    <col min="15878" max="15878" width="14.33203125" style="1267" customWidth="1"/>
    <col min="15879" max="15879" width="121" style="1267" customWidth="1"/>
    <col min="15880" max="15880" width="37.1640625" style="1267" customWidth="1"/>
    <col min="15881" max="15882" width="35.83203125" style="1267" customWidth="1"/>
    <col min="15883" max="15884" width="18.1640625" style="1267" customWidth="1"/>
    <col min="15885" max="15885" width="15" style="1267" bestFit="1" customWidth="1"/>
    <col min="15886" max="15886" width="17.5" style="1267" customWidth="1"/>
    <col min="15887" max="16128" width="9.33203125" style="1267"/>
    <col min="16129" max="16129" width="14.33203125" style="1267" customWidth="1"/>
    <col min="16130" max="16130" width="121" style="1267" customWidth="1"/>
    <col min="16131" max="16131" width="37.6640625" style="1267" customWidth="1"/>
    <col min="16132" max="16133" width="35.83203125" style="1267" customWidth="1"/>
    <col min="16134" max="16134" width="14.33203125" style="1267" customWidth="1"/>
    <col min="16135" max="16135" width="121" style="1267" customWidth="1"/>
    <col min="16136" max="16136" width="37.1640625" style="1267" customWidth="1"/>
    <col min="16137" max="16138" width="35.83203125" style="1267" customWidth="1"/>
    <col min="16139" max="16140" width="18.1640625" style="1267" customWidth="1"/>
    <col min="16141" max="16141" width="15" style="1267" bestFit="1" customWidth="1"/>
    <col min="16142" max="16142" width="17.5" style="1267" customWidth="1"/>
    <col min="16143" max="16384" width="9.33203125" style="1267"/>
  </cols>
  <sheetData>
    <row r="1" spans="1:36" s="1265" customFormat="1" ht="29.25" customHeight="1" x14ac:dyDescent="0.3">
      <c r="B1" s="2581" t="s">
        <v>664</v>
      </c>
      <c r="C1" s="2581"/>
      <c r="D1" s="2581"/>
      <c r="E1" s="2581"/>
      <c r="F1" s="494"/>
      <c r="G1" s="2581" t="s">
        <v>664</v>
      </c>
      <c r="H1" s="2581"/>
      <c r="I1" s="2581"/>
      <c r="J1" s="2581"/>
      <c r="K1" s="2078"/>
      <c r="L1" s="2078"/>
      <c r="M1" s="2078"/>
      <c r="N1" s="2078"/>
      <c r="O1" s="2078"/>
      <c r="P1" s="2079"/>
      <c r="Q1" s="2078"/>
      <c r="R1" s="2078"/>
      <c r="S1" s="2078"/>
      <c r="T1" s="2078"/>
      <c r="U1" s="2078"/>
      <c r="V1" s="2078"/>
      <c r="W1" s="2078"/>
      <c r="X1" s="2078"/>
      <c r="Y1" s="2078"/>
      <c r="Z1" s="2078"/>
      <c r="AA1" s="2078"/>
      <c r="AB1" s="2078"/>
      <c r="AC1" s="2078"/>
      <c r="AD1" s="2078"/>
      <c r="AE1" s="2078"/>
      <c r="AF1" s="2078"/>
      <c r="AG1" s="2078"/>
      <c r="AH1" s="2078"/>
      <c r="AI1" s="2078"/>
      <c r="AJ1" s="2078"/>
    </row>
    <row r="2" spans="1:36" s="1265" customFormat="1" ht="36" customHeight="1" x14ac:dyDescent="0.3">
      <c r="B2" s="2581" t="s">
        <v>1311</v>
      </c>
      <c r="C2" s="2581"/>
      <c r="D2" s="2581"/>
      <c r="E2" s="2581"/>
      <c r="F2" s="494"/>
      <c r="G2" s="2581" t="s">
        <v>1310</v>
      </c>
      <c r="H2" s="2581"/>
      <c r="I2" s="2581"/>
      <c r="J2" s="2581"/>
      <c r="K2" s="2078"/>
      <c r="L2" s="2078"/>
      <c r="M2" s="2078"/>
      <c r="N2" s="2078"/>
      <c r="O2" s="2078"/>
      <c r="P2" s="2079"/>
      <c r="Q2" s="2078"/>
      <c r="R2" s="2078"/>
      <c r="S2" s="2078"/>
      <c r="T2" s="2078"/>
      <c r="U2" s="2078"/>
      <c r="V2" s="2078"/>
      <c r="W2" s="2078"/>
      <c r="X2" s="2078"/>
      <c r="Y2" s="2078"/>
      <c r="Z2" s="2078"/>
      <c r="AA2" s="2078"/>
      <c r="AB2" s="2078"/>
      <c r="AC2" s="2078"/>
      <c r="AD2" s="2078"/>
      <c r="AE2" s="2078"/>
      <c r="AF2" s="2078"/>
      <c r="AG2" s="2078"/>
      <c r="AH2" s="2078"/>
      <c r="AI2" s="2078"/>
      <c r="AJ2" s="2078"/>
    </row>
    <row r="3" spans="1:36" ht="16.5" thickBot="1" x14ac:dyDescent="0.3">
      <c r="A3" s="1266"/>
      <c r="J3" s="1269" t="s">
        <v>38</v>
      </c>
    </row>
    <row r="4" spans="1:36" s="1273" customFormat="1" ht="33.75" customHeight="1" x14ac:dyDescent="0.25">
      <c r="A4" s="1270"/>
      <c r="B4" s="1271" t="s">
        <v>680</v>
      </c>
      <c r="C4" s="1270" t="s">
        <v>1231</v>
      </c>
      <c r="D4" s="1272" t="s">
        <v>1232</v>
      </c>
      <c r="E4" s="1272" t="s">
        <v>261</v>
      </c>
      <c r="F4" s="1270"/>
      <c r="G4" s="1271" t="s">
        <v>684</v>
      </c>
      <c r="H4" s="1270" t="s">
        <v>1231</v>
      </c>
      <c r="I4" s="1272" t="s">
        <v>1232</v>
      </c>
      <c r="J4" s="1272" t="s">
        <v>261</v>
      </c>
      <c r="K4" s="2081"/>
      <c r="L4" s="2081"/>
      <c r="M4" s="2081"/>
      <c r="N4" s="2081"/>
      <c r="O4" s="2081"/>
      <c r="P4" s="2081"/>
      <c r="Q4" s="2081"/>
      <c r="R4" s="2081"/>
      <c r="S4" s="2081"/>
      <c r="T4" s="2081"/>
      <c r="U4" s="2081"/>
      <c r="V4" s="2081"/>
      <c r="W4" s="2081"/>
      <c r="X4" s="2081"/>
      <c r="Y4" s="2081"/>
      <c r="Z4" s="2081"/>
      <c r="AA4" s="2081"/>
      <c r="AB4" s="2081"/>
      <c r="AC4" s="2081"/>
      <c r="AD4" s="2081"/>
      <c r="AE4" s="2081"/>
      <c r="AF4" s="2081"/>
      <c r="AG4" s="2081"/>
      <c r="AH4" s="2081"/>
      <c r="AI4" s="2081"/>
      <c r="AJ4" s="2081"/>
    </row>
    <row r="5" spans="1:36" s="1273" customFormat="1" ht="25.5" customHeight="1" x14ac:dyDescent="0.25">
      <c r="A5" s="1274"/>
      <c r="B5" s="1275"/>
      <c r="C5" s="1274" t="s">
        <v>1233</v>
      </c>
      <c r="D5" s="1276"/>
      <c r="E5" s="1276" t="s">
        <v>1234</v>
      </c>
      <c r="F5" s="1274"/>
      <c r="G5" s="1275"/>
      <c r="H5" s="1274" t="s">
        <v>1235</v>
      </c>
      <c r="I5" s="1276"/>
      <c r="J5" s="1276" t="s">
        <v>1236</v>
      </c>
      <c r="K5" s="2081"/>
      <c r="L5" s="2081"/>
      <c r="M5" s="2081"/>
      <c r="N5" s="2081"/>
      <c r="O5" s="2081"/>
      <c r="P5" s="2081"/>
      <c r="Q5" s="2081"/>
      <c r="R5" s="2081"/>
      <c r="S5" s="2081"/>
      <c r="T5" s="2081"/>
      <c r="U5" s="2081"/>
      <c r="V5" s="2081"/>
      <c r="W5" s="2081"/>
      <c r="X5" s="2081"/>
      <c r="Y5" s="2081"/>
      <c r="Z5" s="2081"/>
      <c r="AA5" s="2081"/>
      <c r="AB5" s="2081"/>
      <c r="AC5" s="2081"/>
      <c r="AD5" s="2081"/>
      <c r="AE5" s="2081"/>
      <c r="AF5" s="2081"/>
      <c r="AG5" s="2081"/>
      <c r="AH5" s="2081"/>
      <c r="AI5" s="2081"/>
      <c r="AJ5" s="2081"/>
    </row>
    <row r="6" spans="1:36" s="1273" customFormat="1" ht="88.5" customHeight="1" thickBot="1" x14ac:dyDescent="0.3">
      <c r="A6" s="1277"/>
      <c r="B6" s="1278"/>
      <c r="C6" s="1279" t="s">
        <v>162</v>
      </c>
      <c r="D6" s="1280" t="s">
        <v>1237</v>
      </c>
      <c r="E6" s="1281"/>
      <c r="F6" s="1277"/>
      <c r="G6" s="1278"/>
      <c r="H6" s="1279" t="s">
        <v>162</v>
      </c>
      <c r="I6" s="1280" t="s">
        <v>1238</v>
      </c>
      <c r="J6" s="1281"/>
      <c r="K6" s="2082"/>
      <c r="L6" s="2082"/>
      <c r="M6" s="2081"/>
      <c r="N6" s="2081"/>
      <c r="O6" s="2081"/>
      <c r="P6" s="2081"/>
      <c r="Q6" s="2081"/>
      <c r="R6" s="2081"/>
      <c r="S6" s="2081"/>
      <c r="T6" s="2081"/>
      <c r="U6" s="2081"/>
      <c r="V6" s="2081"/>
      <c r="W6" s="2081"/>
      <c r="X6" s="2081"/>
      <c r="Y6" s="2081"/>
      <c r="Z6" s="2081"/>
      <c r="AA6" s="2081"/>
      <c r="AB6" s="2081"/>
      <c r="AC6" s="2081"/>
      <c r="AD6" s="2081"/>
      <c r="AE6" s="2081"/>
      <c r="AF6" s="2081"/>
      <c r="AG6" s="2081"/>
      <c r="AH6" s="2081"/>
      <c r="AI6" s="2081"/>
      <c r="AJ6" s="2081"/>
    </row>
    <row r="7" spans="1:36" ht="24" customHeight="1" x14ac:dyDescent="0.25">
      <c r="A7" s="1282"/>
      <c r="B7" s="1283" t="s">
        <v>1239</v>
      </c>
      <c r="C7" s="1284"/>
      <c r="D7" s="1285"/>
      <c r="E7" s="1286"/>
      <c r="F7" s="1287"/>
      <c r="G7" s="1288" t="s">
        <v>1240</v>
      </c>
      <c r="H7" s="1284"/>
      <c r="I7" s="1285"/>
      <c r="J7" s="1286"/>
      <c r="K7" s="2083"/>
      <c r="L7" s="2083"/>
    </row>
    <row r="8" spans="1:36" ht="27" customHeight="1" x14ac:dyDescent="0.25">
      <c r="A8" s="2087" t="s">
        <v>577</v>
      </c>
      <c r="B8" s="1289" t="s">
        <v>1241</v>
      </c>
      <c r="C8" s="2067">
        <v>383020</v>
      </c>
      <c r="D8" s="2067">
        <v>3649572</v>
      </c>
      <c r="E8" s="2068">
        <f>SUM(C8:D8)</f>
        <v>4032592</v>
      </c>
      <c r="F8" s="2090" t="s">
        <v>1242</v>
      </c>
      <c r="G8" s="1289" t="s">
        <v>1243</v>
      </c>
      <c r="H8" s="2073">
        <v>4445278</v>
      </c>
      <c r="I8" s="2073">
        <f>169615+1</f>
        <v>169616</v>
      </c>
      <c r="J8" s="2074">
        <f>SUM(H8:I8)</f>
        <v>4614894</v>
      </c>
      <c r="K8" s="2084"/>
      <c r="L8" s="2084"/>
      <c r="M8" s="2084"/>
      <c r="N8" s="2084"/>
    </row>
    <row r="9" spans="1:36" ht="44.45" customHeight="1" x14ac:dyDescent="0.25">
      <c r="A9" s="2088" t="s">
        <v>1244</v>
      </c>
      <c r="B9" s="1291" t="s">
        <v>169</v>
      </c>
      <c r="C9" s="2067">
        <v>699</v>
      </c>
      <c r="D9" s="2067">
        <f>9387860-1</f>
        <v>9387859</v>
      </c>
      <c r="E9" s="2068">
        <f>SUM(C9:D9)</f>
        <v>9388558</v>
      </c>
      <c r="F9" s="2091" t="s">
        <v>1245</v>
      </c>
      <c r="G9" s="1292" t="s">
        <v>1246</v>
      </c>
      <c r="H9" s="2075">
        <f>1256041-1</f>
        <v>1256040</v>
      </c>
      <c r="I9" s="2075">
        <v>45790</v>
      </c>
      <c r="J9" s="2074">
        <f>SUM(H9:I9)</f>
        <v>1301830</v>
      </c>
      <c r="K9" s="2084"/>
      <c r="L9" s="2084"/>
      <c r="M9" s="2084"/>
      <c r="N9" s="2084"/>
    </row>
    <row r="10" spans="1:36" ht="27" customHeight="1" x14ac:dyDescent="0.25">
      <c r="A10" s="2087" t="s">
        <v>1247</v>
      </c>
      <c r="B10" s="1289" t="s">
        <v>1248</v>
      </c>
      <c r="C10" s="2067">
        <v>1358724</v>
      </c>
      <c r="D10" s="2067">
        <v>1846970</v>
      </c>
      <c r="E10" s="2068">
        <f>SUM(C10:D10)</f>
        <v>3205694</v>
      </c>
      <c r="F10" s="2091" t="s">
        <v>1249</v>
      </c>
      <c r="G10" s="1291" t="s">
        <v>1250</v>
      </c>
      <c r="H10" s="2075">
        <v>3216937</v>
      </c>
      <c r="I10" s="2075">
        <f>3035426-1</f>
        <v>3035425</v>
      </c>
      <c r="J10" s="2074">
        <f>SUM(H10:I10)</f>
        <v>6252362</v>
      </c>
      <c r="K10" s="2084"/>
      <c r="L10" s="2084"/>
      <c r="M10" s="2084"/>
      <c r="N10" s="2084"/>
    </row>
    <row r="11" spans="1:36" ht="27" customHeight="1" x14ac:dyDescent="0.25">
      <c r="A11" s="2088" t="s">
        <v>578</v>
      </c>
      <c r="B11" s="1291" t="s">
        <v>361</v>
      </c>
      <c r="C11" s="2067">
        <v>22995</v>
      </c>
      <c r="D11" s="2067">
        <v>29487</v>
      </c>
      <c r="E11" s="2068">
        <f>SUM(C11:D11)</f>
        <v>52482</v>
      </c>
      <c r="F11" s="2092" t="s">
        <v>1251</v>
      </c>
      <c r="G11" s="1293" t="s">
        <v>1252</v>
      </c>
      <c r="H11" s="2075">
        <v>0</v>
      </c>
      <c r="I11" s="2075">
        <v>159336</v>
      </c>
      <c r="J11" s="2074">
        <f>SUM(H11:I11)</f>
        <v>159336</v>
      </c>
      <c r="K11" s="2084"/>
      <c r="L11" s="2084"/>
      <c r="M11" s="2084"/>
      <c r="N11" s="2084"/>
    </row>
    <row r="12" spans="1:36" ht="24" customHeight="1" thickBot="1" x14ac:dyDescent="0.3">
      <c r="A12" s="2087"/>
      <c r="B12" s="1289"/>
      <c r="C12" s="2069"/>
      <c r="D12" s="2067"/>
      <c r="E12" s="2068"/>
      <c r="F12" s="2091" t="s">
        <v>1253</v>
      </c>
      <c r="G12" s="1291" t="s">
        <v>1254</v>
      </c>
      <c r="H12" s="2074">
        <v>60176</v>
      </c>
      <c r="I12" s="2074">
        <v>3013923</v>
      </c>
      <c r="J12" s="2074">
        <f>SUM(H12:I12)</f>
        <v>3074099</v>
      </c>
      <c r="K12" s="2084"/>
      <c r="L12" s="2084"/>
      <c r="M12" s="2084"/>
      <c r="N12" s="2084"/>
    </row>
    <row r="13" spans="1:36" ht="27" customHeight="1" thickBot="1" x14ac:dyDescent="0.3">
      <c r="A13" s="2089"/>
      <c r="B13" s="1295" t="s">
        <v>1255</v>
      </c>
      <c r="C13" s="2070">
        <f>SUM(C8:C12)</f>
        <v>1765438</v>
      </c>
      <c r="D13" s="2070">
        <f>SUM(D8:D12)</f>
        <v>14913888</v>
      </c>
      <c r="E13" s="2070">
        <f>SUM(C13:D13)</f>
        <v>16679326</v>
      </c>
      <c r="F13" s="2093"/>
      <c r="G13" s="1295" t="s">
        <v>1256</v>
      </c>
      <c r="H13" s="2076">
        <f>SUM(H8:H12)</f>
        <v>8978431</v>
      </c>
      <c r="I13" s="2076">
        <f>SUM(I8:I12)</f>
        <v>6424090</v>
      </c>
      <c r="J13" s="2076">
        <f>SUM(J8:J12)</f>
        <v>15402521</v>
      </c>
      <c r="K13" s="2084"/>
      <c r="L13" s="2084"/>
      <c r="M13" s="2084"/>
      <c r="N13" s="2084"/>
    </row>
    <row r="14" spans="1:36" s="1297" customFormat="1" ht="27" customHeight="1" x14ac:dyDescent="0.25">
      <c r="A14" s="2087" t="s">
        <v>581</v>
      </c>
      <c r="B14" s="1291" t="s">
        <v>367</v>
      </c>
      <c r="C14" s="2067">
        <v>4630</v>
      </c>
      <c r="D14" s="2067">
        <v>9536493</v>
      </c>
      <c r="E14" s="2068">
        <f>SUM(C14:D14)</f>
        <v>9541123</v>
      </c>
      <c r="F14" s="2094" t="s">
        <v>1257</v>
      </c>
      <c r="G14" s="1296" t="s">
        <v>392</v>
      </c>
      <c r="H14" s="2077">
        <v>362606</v>
      </c>
      <c r="I14" s="2077">
        <f>627956</f>
        <v>627956</v>
      </c>
      <c r="J14" s="2074">
        <f>SUM(H14:I14)</f>
        <v>990562</v>
      </c>
      <c r="K14" s="2084"/>
      <c r="L14" s="2084"/>
      <c r="M14" s="2084"/>
      <c r="N14" s="2084"/>
      <c r="O14" s="2085"/>
      <c r="P14" s="2085"/>
      <c r="Q14" s="2085"/>
      <c r="R14" s="2085"/>
      <c r="S14" s="2085"/>
      <c r="T14" s="2085"/>
      <c r="U14" s="2085"/>
      <c r="V14" s="2085"/>
      <c r="W14" s="2085"/>
      <c r="X14" s="2085"/>
      <c r="Y14" s="2085"/>
      <c r="Z14" s="2085"/>
      <c r="AA14" s="2085"/>
      <c r="AB14" s="2085"/>
      <c r="AC14" s="2085"/>
      <c r="AD14" s="2085"/>
      <c r="AE14" s="2085"/>
      <c r="AF14" s="2085"/>
      <c r="AG14" s="2085"/>
      <c r="AH14" s="2085"/>
      <c r="AI14" s="2085"/>
      <c r="AJ14" s="2085"/>
    </row>
    <row r="15" spans="1:36" ht="27" customHeight="1" x14ac:dyDescent="0.25">
      <c r="A15" s="2087" t="s">
        <v>580</v>
      </c>
      <c r="B15" s="1291" t="s">
        <v>373</v>
      </c>
      <c r="C15" s="2067">
        <v>6512</v>
      </c>
      <c r="D15" s="2067">
        <v>274359</v>
      </c>
      <c r="E15" s="2068">
        <f>SUM(C15:D15)</f>
        <v>280871</v>
      </c>
      <c r="F15" s="2095" t="s">
        <v>1258</v>
      </c>
      <c r="G15" s="1291" t="s">
        <v>1259</v>
      </c>
      <c r="H15" s="2075">
        <v>167458</v>
      </c>
      <c r="I15" s="2075">
        <f>619396-1</f>
        <v>619395</v>
      </c>
      <c r="J15" s="2074">
        <f>SUM(H15:I15)</f>
        <v>786853</v>
      </c>
      <c r="K15" s="2084"/>
      <c r="L15" s="2084"/>
      <c r="M15" s="2084"/>
      <c r="N15" s="2084"/>
    </row>
    <row r="16" spans="1:36" ht="27" customHeight="1" thickBot="1" x14ac:dyDescent="0.3">
      <c r="A16" s="2087" t="s">
        <v>579</v>
      </c>
      <c r="B16" s="1291" t="s">
        <v>1260</v>
      </c>
      <c r="C16" s="2067">
        <v>0</v>
      </c>
      <c r="D16" s="2067">
        <v>43470</v>
      </c>
      <c r="E16" s="2068">
        <f>SUM(C16:D16)</f>
        <v>43470</v>
      </c>
      <c r="F16" s="2092" t="s">
        <v>1261</v>
      </c>
      <c r="G16" s="1298" t="s">
        <v>1262</v>
      </c>
      <c r="H16" s="2073">
        <v>0</v>
      </c>
      <c r="I16" s="2073">
        <v>269971</v>
      </c>
      <c r="J16" s="2074">
        <f>SUM(H16:I16)</f>
        <v>269971</v>
      </c>
      <c r="K16" s="2084"/>
      <c r="L16" s="2084"/>
      <c r="M16" s="2084"/>
      <c r="N16" s="2084"/>
    </row>
    <row r="17" spans="1:13" ht="27" customHeight="1" thickBot="1" x14ac:dyDescent="0.3">
      <c r="A17" s="1294"/>
      <c r="B17" s="1295" t="s">
        <v>1263</v>
      </c>
      <c r="C17" s="2070">
        <f>SUM(C14:C16)</f>
        <v>11142</v>
      </c>
      <c r="D17" s="2070">
        <f>SUM(D14:D16)</f>
        <v>9854322</v>
      </c>
      <c r="E17" s="2070">
        <f>SUM(E14:E16)</f>
        <v>9865464</v>
      </c>
      <c r="F17" s="1294"/>
      <c r="G17" s="1299" t="s">
        <v>1264</v>
      </c>
      <c r="H17" s="2076">
        <f>SUM(H14:H16)</f>
        <v>530064</v>
      </c>
      <c r="I17" s="2076">
        <f>SUM(I14:I16)</f>
        <v>1517322</v>
      </c>
      <c r="J17" s="2076">
        <f>SUM(J14:J16)</f>
        <v>2047386</v>
      </c>
      <c r="K17" s="2084"/>
      <c r="L17" s="2084"/>
      <c r="M17" s="2084"/>
    </row>
    <row r="18" spans="1:13" ht="27" customHeight="1" thickBot="1" x14ac:dyDescent="0.3">
      <c r="A18" s="1300"/>
      <c r="B18" s="1299" t="s">
        <v>1265</v>
      </c>
      <c r="C18" s="2070">
        <f>+C13+C17</f>
        <v>1776580</v>
      </c>
      <c r="D18" s="2070">
        <f>D13+D17</f>
        <v>24768210</v>
      </c>
      <c r="E18" s="2070">
        <f>SUM(E13+E17)</f>
        <v>26544790</v>
      </c>
      <c r="F18" s="1294"/>
      <c r="G18" s="1295" t="s">
        <v>1266</v>
      </c>
      <c r="H18" s="2076">
        <f>SUM(H17,H13)</f>
        <v>9508495</v>
      </c>
      <c r="I18" s="2076">
        <f>SUM(I17,I13)</f>
        <v>7941412</v>
      </c>
      <c r="J18" s="2076">
        <f>SUM(J17,J13)</f>
        <v>17449907</v>
      </c>
      <c r="K18" s="2084"/>
      <c r="L18" s="2084"/>
      <c r="M18" s="2084"/>
    </row>
    <row r="19" spans="1:13" ht="27" customHeight="1" thickBot="1" x14ac:dyDescent="0.3">
      <c r="A19" s="1301" t="s">
        <v>1267</v>
      </c>
      <c r="B19" s="1302" t="s">
        <v>1268</v>
      </c>
      <c r="C19" s="2071">
        <v>208760</v>
      </c>
      <c r="D19" s="2072">
        <f>2296478-1</f>
        <v>2296477</v>
      </c>
      <c r="E19" s="2068">
        <f>SUM(C19:D19)</f>
        <v>2505237</v>
      </c>
      <c r="F19" s="1303" t="s">
        <v>1269</v>
      </c>
      <c r="G19" s="1304" t="s">
        <v>1270</v>
      </c>
      <c r="H19" s="2075">
        <v>0</v>
      </c>
      <c r="I19" s="2075">
        <f>95909</f>
        <v>95909</v>
      </c>
      <c r="J19" s="2074">
        <f>SUM(H19:I19)</f>
        <v>95909</v>
      </c>
      <c r="K19" s="2084"/>
      <c r="L19" s="2084"/>
      <c r="M19" s="2084"/>
    </row>
    <row r="20" spans="1:13" ht="49.5" customHeight="1" thickBot="1" x14ac:dyDescent="0.3">
      <c r="A20" s="1305"/>
      <c r="B20" s="1306" t="s">
        <v>1271</v>
      </c>
      <c r="C20" s="2070">
        <f>SUM(C18:C19)</f>
        <v>1985340</v>
      </c>
      <c r="D20" s="2070">
        <f>SUM(D18:D19)</f>
        <v>27064687</v>
      </c>
      <c r="E20" s="2070">
        <f>SUM(C20:D20)</f>
        <v>29050027</v>
      </c>
      <c r="F20" s="1305"/>
      <c r="G20" s="1306" t="s">
        <v>1272</v>
      </c>
      <c r="H20" s="2076">
        <f>SUM(H18:H19)</f>
        <v>9508495</v>
      </c>
      <c r="I20" s="2076">
        <f>SUM(I18:I19)</f>
        <v>8037321</v>
      </c>
      <c r="J20" s="2076">
        <f>SUM(J18:J19)</f>
        <v>17545816</v>
      </c>
      <c r="K20" s="2084"/>
      <c r="L20" s="2084"/>
      <c r="M20" s="2084"/>
    </row>
    <row r="21" spans="1:13" ht="24" customHeight="1" x14ac:dyDescent="0.25">
      <c r="A21" s="1290"/>
      <c r="C21" s="1290"/>
      <c r="E21" s="1307">
        <f>+'2 mérleg '!F57</f>
        <v>29050027</v>
      </c>
      <c r="F21" s="1307"/>
      <c r="H21" s="1308"/>
      <c r="I21" s="1309"/>
      <c r="J21" s="1310">
        <f>+'2 mérleg '!L57</f>
        <v>17545816</v>
      </c>
      <c r="K21" s="1311"/>
      <c r="L21" s="1311"/>
    </row>
    <row r="22" spans="1:13" ht="24" customHeight="1" x14ac:dyDescent="0.25">
      <c r="A22" s="1290"/>
      <c r="B22" s="1312"/>
      <c r="C22" s="1290"/>
      <c r="E22" s="1313">
        <f>+E21-E20</f>
        <v>0</v>
      </c>
      <c r="F22" s="1307"/>
      <c r="G22" s="1314"/>
      <c r="H22" s="1315"/>
      <c r="I22" s="1315"/>
      <c r="J22" s="1316">
        <f>+J21-J20</f>
        <v>0</v>
      </c>
      <c r="K22" s="1311"/>
      <c r="L22" s="1311"/>
    </row>
    <row r="23" spans="1:13" ht="24" customHeight="1" x14ac:dyDescent="0.25">
      <c r="A23" s="1290"/>
      <c r="B23" s="1317"/>
      <c r="C23" s="1290"/>
      <c r="E23" s="1318">
        <f>+E13+E17+E19</f>
        <v>29050027</v>
      </c>
      <c r="F23" s="1307"/>
      <c r="H23" s="1315"/>
      <c r="I23" s="1315"/>
      <c r="J23" s="1319">
        <f>+J13+J17+J19</f>
        <v>17545816</v>
      </c>
      <c r="K23" s="1311"/>
      <c r="L23" s="1311"/>
    </row>
    <row r="24" spans="1:13" ht="24" customHeight="1" x14ac:dyDescent="0.25">
      <c r="A24" s="1290"/>
      <c r="B24" s="1317"/>
      <c r="C24" s="1290"/>
      <c r="E24" s="1307">
        <f>+E13-J13</f>
        <v>1276805</v>
      </c>
      <c r="F24" s="1307"/>
      <c r="H24" s="1315"/>
      <c r="J24" s="1320"/>
      <c r="K24" s="1311"/>
      <c r="L24" s="1311"/>
    </row>
    <row r="25" spans="1:13" ht="24" customHeight="1" x14ac:dyDescent="0.25">
      <c r="A25" s="1290"/>
      <c r="B25" s="1321"/>
      <c r="C25" s="1290"/>
      <c r="E25" s="1307">
        <f>+E17-J17</f>
        <v>7818078</v>
      </c>
      <c r="F25" s="1307"/>
      <c r="H25" s="1315"/>
      <c r="I25" s="1322"/>
      <c r="J25" s="1320"/>
      <c r="K25" s="1311"/>
      <c r="L25" s="1311"/>
    </row>
    <row r="26" spans="1:13" ht="24" customHeight="1" x14ac:dyDescent="0.25">
      <c r="A26" s="1290"/>
      <c r="B26" s="1323"/>
      <c r="C26" s="1290"/>
      <c r="E26" s="1307"/>
      <c r="F26" s="1307"/>
      <c r="H26" s="1315"/>
      <c r="I26" s="1322"/>
      <c r="J26" s="1320"/>
      <c r="K26" s="1311"/>
      <c r="L26" s="1311"/>
    </row>
    <row r="27" spans="1:13" ht="24" customHeight="1" x14ac:dyDescent="0.25">
      <c r="A27" s="1290"/>
      <c r="B27" s="1323"/>
      <c r="C27" s="1290"/>
      <c r="E27" s="1307"/>
      <c r="F27" s="1307"/>
      <c r="H27" s="1315"/>
      <c r="I27" s="1322"/>
      <c r="J27" s="1320"/>
      <c r="K27" s="1311"/>
      <c r="L27" s="1311"/>
    </row>
    <row r="28" spans="1:13" ht="24" customHeight="1" x14ac:dyDescent="0.25">
      <c r="A28" s="1290"/>
      <c r="C28" s="1290"/>
      <c r="D28" s="1290"/>
      <c r="E28" s="1307"/>
      <c r="F28" s="1307"/>
      <c r="H28" s="1315"/>
      <c r="I28" s="1322"/>
      <c r="J28" s="1320"/>
      <c r="K28" s="1311"/>
      <c r="L28" s="1311"/>
    </row>
    <row r="29" spans="1:13" ht="24" customHeight="1" x14ac:dyDescent="0.25">
      <c r="A29" s="1290"/>
      <c r="C29" s="1290"/>
      <c r="E29" s="1307"/>
      <c r="F29" s="1307"/>
      <c r="H29" s="1322"/>
      <c r="I29" s="1322"/>
      <c r="J29" s="1324"/>
      <c r="K29" s="1311"/>
      <c r="L29" s="1311"/>
    </row>
    <row r="30" spans="1:13" ht="24" customHeight="1" x14ac:dyDescent="0.25">
      <c r="A30" s="1290"/>
      <c r="C30" s="1290"/>
      <c r="E30" s="1307"/>
      <c r="F30" s="1307"/>
      <c r="H30" s="1322"/>
      <c r="I30" s="1322"/>
      <c r="J30" s="1324"/>
      <c r="K30" s="1311"/>
      <c r="L30" s="1311"/>
    </row>
    <row r="31" spans="1:13" ht="24" customHeight="1" x14ac:dyDescent="0.25">
      <c r="A31" s="1290"/>
      <c r="C31" s="1290"/>
      <c r="E31" s="1307"/>
      <c r="F31" s="1307"/>
      <c r="H31" s="1322"/>
      <c r="I31" s="1322"/>
      <c r="K31" s="1311"/>
      <c r="L31" s="1311"/>
    </row>
    <row r="32" spans="1:13" ht="24" customHeight="1" x14ac:dyDescent="0.25">
      <c r="A32" s="1290"/>
      <c r="C32" s="1290"/>
      <c r="E32" s="1307"/>
      <c r="F32" s="1307"/>
      <c r="H32" s="1322"/>
      <c r="I32" s="1322"/>
      <c r="K32" s="1311"/>
      <c r="L32" s="1311"/>
    </row>
    <row r="33" spans="1:12" ht="24" customHeight="1" x14ac:dyDescent="0.25">
      <c r="A33" s="1322"/>
      <c r="B33" s="1321"/>
      <c r="C33" s="1290"/>
      <c r="E33" s="1290"/>
      <c r="F33" s="1307"/>
      <c r="G33" s="1312"/>
      <c r="H33" s="1322"/>
      <c r="K33" s="1325"/>
      <c r="L33" s="1325"/>
    </row>
    <row r="34" spans="1:12" ht="24" customHeight="1" x14ac:dyDescent="0.25">
      <c r="C34" s="1290"/>
      <c r="F34" s="1320"/>
      <c r="H34" s="1315"/>
      <c r="J34" s="1320"/>
      <c r="K34" s="1325"/>
      <c r="L34" s="1325"/>
    </row>
    <row r="35" spans="1:12" ht="24" customHeight="1" x14ac:dyDescent="0.25">
      <c r="C35" s="1290"/>
      <c r="E35" s="1267"/>
      <c r="F35" s="1320"/>
      <c r="H35" s="1315"/>
      <c r="J35" s="1290"/>
      <c r="K35" s="2086"/>
      <c r="L35" s="2086"/>
    </row>
    <row r="36" spans="1:12" ht="24" customHeight="1" x14ac:dyDescent="0.25">
      <c r="C36" s="1290"/>
      <c r="E36" s="1290"/>
      <c r="H36" s="1315"/>
      <c r="J36" s="1267"/>
      <c r="K36" s="2086"/>
      <c r="L36" s="2086"/>
    </row>
    <row r="37" spans="1:12" ht="24" customHeight="1" x14ac:dyDescent="0.25">
      <c r="E37" s="1267"/>
      <c r="F37" s="1307"/>
      <c r="J37" s="1267"/>
    </row>
    <row r="38" spans="1:12" ht="24" customHeight="1" x14ac:dyDescent="0.25">
      <c r="E38" s="1318"/>
      <c r="F38" s="1318"/>
      <c r="J38" s="1318"/>
    </row>
    <row r="39" spans="1:12" ht="24" customHeight="1" x14ac:dyDescent="0.25"/>
    <row r="40" spans="1:12" ht="24" customHeight="1" x14ac:dyDescent="0.25"/>
    <row r="41" spans="1:12" ht="24" customHeight="1" x14ac:dyDescent="0.25"/>
    <row r="42" spans="1:12" ht="24" customHeight="1" x14ac:dyDescent="0.25"/>
    <row r="43" spans="1:12" ht="24" customHeight="1" x14ac:dyDescent="0.25"/>
  </sheetData>
  <mergeCells count="4">
    <mergeCell ref="B1:E1"/>
    <mergeCell ref="G1:J1"/>
    <mergeCell ref="B2:E2"/>
    <mergeCell ref="G2:J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</oddHeader>
  </headerFooter>
  <colBreaks count="1" manualBreakCount="1">
    <brk id="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F47"/>
  <sheetViews>
    <sheetView topLeftCell="A4" zoomScaleNormal="100" zoomScaleSheetLayoutView="75" workbookViewId="0">
      <selection activeCell="B1" sqref="B1:E1"/>
    </sheetView>
  </sheetViews>
  <sheetFormatPr defaultRowHeight="15" customHeight="1" x14ac:dyDescent="0.2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25">
      <c r="B1" s="2666"/>
      <c r="C1" s="2666"/>
      <c r="D1" s="119"/>
    </row>
    <row r="2" spans="1:6" ht="27" customHeight="1" x14ac:dyDescent="0.3">
      <c r="B2" s="2667" t="s">
        <v>45</v>
      </c>
      <c r="C2" s="2667"/>
      <c r="D2" s="2668"/>
      <c r="E2" s="2668"/>
      <c r="F2" s="2668"/>
    </row>
    <row r="3" spans="1:6" ht="18" customHeight="1" x14ac:dyDescent="0.25">
      <c r="B3" s="119"/>
      <c r="C3" s="119"/>
      <c r="D3" s="119"/>
      <c r="E3" s="129"/>
      <c r="F3" s="129"/>
    </row>
    <row r="4" spans="1:6" ht="27" customHeight="1" thickBot="1" x14ac:dyDescent="0.25">
      <c r="B4" s="236" t="s">
        <v>300</v>
      </c>
      <c r="C4" s="91"/>
      <c r="D4" s="91"/>
      <c r="E4" s="91"/>
      <c r="F4" s="31" t="s">
        <v>38</v>
      </c>
    </row>
    <row r="5" spans="1:6" ht="27" customHeight="1" x14ac:dyDescent="0.25">
      <c r="A5" s="130"/>
      <c r="B5" s="124" t="s">
        <v>59</v>
      </c>
      <c r="C5" s="2669" t="s">
        <v>173</v>
      </c>
      <c r="D5" s="2669"/>
      <c r="E5" s="1261" t="s">
        <v>608</v>
      </c>
      <c r="F5" s="45" t="s">
        <v>206</v>
      </c>
    </row>
    <row r="6" spans="1:6" ht="27" customHeight="1" thickBot="1" x14ac:dyDescent="0.3">
      <c r="B6" s="125"/>
      <c r="C6" s="127" t="s">
        <v>406</v>
      </c>
      <c r="D6" s="127" t="s">
        <v>204</v>
      </c>
      <c r="E6" s="77" t="s">
        <v>205</v>
      </c>
      <c r="F6" s="46" t="s">
        <v>207</v>
      </c>
    </row>
    <row r="7" spans="1:6" ht="39" customHeight="1" x14ac:dyDescent="0.2">
      <c r="B7" s="364" t="s">
        <v>519</v>
      </c>
      <c r="C7" s="438">
        <v>535000</v>
      </c>
      <c r="D7" s="438">
        <v>613657</v>
      </c>
      <c r="E7" s="232">
        <f>738579-E8-E9</f>
        <v>583515</v>
      </c>
      <c r="F7" s="467">
        <f>+E7/D7*100</f>
        <v>95.088135554552466</v>
      </c>
    </row>
    <row r="8" spans="1:6" ht="39" customHeight="1" x14ac:dyDescent="0.2">
      <c r="B8" s="347" t="s">
        <v>520</v>
      </c>
      <c r="C8" s="232">
        <v>89561</v>
      </c>
      <c r="D8" s="232">
        <v>134137</v>
      </c>
      <c r="E8" s="232">
        <v>134137</v>
      </c>
      <c r="F8" s="318">
        <f>+E8/D8*100</f>
        <v>100</v>
      </c>
    </row>
    <row r="9" spans="1:6" ht="39" customHeight="1" x14ac:dyDescent="0.2">
      <c r="B9" s="347" t="s">
        <v>1403</v>
      </c>
      <c r="C9" s="233"/>
      <c r="D9" s="233">
        <v>20927</v>
      </c>
      <c r="E9" s="233">
        <v>20927</v>
      </c>
      <c r="F9" s="467">
        <f>+E9/D9*100</f>
        <v>100</v>
      </c>
    </row>
    <row r="10" spans="1:6" ht="24.75" customHeight="1" thickBot="1" x14ac:dyDescent="0.3">
      <c r="B10" s="131" t="s">
        <v>299</v>
      </c>
      <c r="C10" s="122">
        <f>SUM(C7:C9)</f>
        <v>624561</v>
      </c>
      <c r="D10" s="122">
        <f>SUM(D7:D9)</f>
        <v>768721</v>
      </c>
      <c r="E10" s="122">
        <f>SUM(E7:E9)</f>
        <v>738579</v>
      </c>
      <c r="F10" s="104">
        <f>+E10/D10*100</f>
        <v>96.078941514541683</v>
      </c>
    </row>
    <row r="11" spans="1:6" ht="24.75" customHeight="1" x14ac:dyDescent="0.25">
      <c r="B11" s="132" t="s">
        <v>292</v>
      </c>
      <c r="C11" s="87"/>
      <c r="D11" s="3"/>
      <c r="E11" s="87"/>
      <c r="F11" s="136"/>
    </row>
    <row r="12" spans="1:6" ht="24.75" customHeight="1" thickBot="1" x14ac:dyDescent="0.25">
      <c r="B12" s="111" t="s">
        <v>29</v>
      </c>
      <c r="C12" s="84"/>
      <c r="D12" s="84">
        <v>20848</v>
      </c>
      <c r="E12" s="84">
        <v>20021</v>
      </c>
      <c r="F12" s="319">
        <f>+E12/D12*100</f>
        <v>96.0331926323868</v>
      </c>
    </row>
    <row r="13" spans="1:6" ht="24.75" customHeight="1" thickBot="1" x14ac:dyDescent="0.3">
      <c r="B13" s="133" t="s">
        <v>293</v>
      </c>
      <c r="C13" s="83">
        <f>SUM(C12:C12)</f>
        <v>0</v>
      </c>
      <c r="D13" s="83">
        <f>SUM(D12:D12)</f>
        <v>20848</v>
      </c>
      <c r="E13" s="83">
        <f>SUM(E12:E12)</f>
        <v>20021</v>
      </c>
      <c r="F13" s="319">
        <f>+E13/D13*100</f>
        <v>96.0331926323868</v>
      </c>
    </row>
    <row r="14" spans="1:6" ht="24.75" customHeight="1" x14ac:dyDescent="0.2">
      <c r="A14" s="6"/>
      <c r="B14" s="132" t="s">
        <v>294</v>
      </c>
      <c r="C14" s="126"/>
      <c r="D14" s="109"/>
      <c r="E14" s="78"/>
      <c r="F14" s="382"/>
    </row>
    <row r="15" spans="1:6" ht="24.75" customHeight="1" x14ac:dyDescent="0.2">
      <c r="A15" s="6"/>
      <c r="B15" s="60" t="s">
        <v>161</v>
      </c>
      <c r="C15" s="81">
        <v>5000</v>
      </c>
      <c r="D15" s="81">
        <v>5000</v>
      </c>
      <c r="E15" s="56">
        <v>1720</v>
      </c>
      <c r="F15" s="436">
        <f t="shared" ref="F15:F27" si="0">+E15/D15*100</f>
        <v>34.4</v>
      </c>
    </row>
    <row r="16" spans="1:6" ht="24.75" customHeight="1" x14ac:dyDescent="0.2">
      <c r="A16" s="6"/>
      <c r="B16" s="347" t="s">
        <v>455</v>
      </c>
      <c r="C16" s="233">
        <v>120000</v>
      </c>
      <c r="D16" s="233">
        <v>120000</v>
      </c>
      <c r="E16" s="313">
        <v>120000</v>
      </c>
      <c r="F16" s="318">
        <f t="shared" si="0"/>
        <v>100</v>
      </c>
    </row>
    <row r="17" spans="1:6" ht="24.75" customHeight="1" x14ac:dyDescent="0.2">
      <c r="A17" s="6"/>
      <c r="B17" s="60" t="s">
        <v>340</v>
      </c>
      <c r="C17" s="81">
        <v>2000</v>
      </c>
      <c r="D17" s="81">
        <v>2210</v>
      </c>
      <c r="E17" s="56">
        <v>2183</v>
      </c>
      <c r="F17" s="383">
        <f t="shared" si="0"/>
        <v>98.778280542986437</v>
      </c>
    </row>
    <row r="18" spans="1:6" s="6" customFormat="1" ht="24.75" customHeight="1" x14ac:dyDescent="0.2">
      <c r="B18" s="111" t="s">
        <v>137</v>
      </c>
      <c r="C18" s="84">
        <v>118000</v>
      </c>
      <c r="D18" s="84">
        <v>136211</v>
      </c>
      <c r="E18" s="84">
        <v>129548</v>
      </c>
      <c r="F18" s="384">
        <f t="shared" si="0"/>
        <v>95.108324584651754</v>
      </c>
    </row>
    <row r="19" spans="1:6" ht="24.75" customHeight="1" x14ac:dyDescent="0.2">
      <c r="A19" s="6"/>
      <c r="B19" s="60" t="s">
        <v>127</v>
      </c>
      <c r="C19" s="81">
        <v>2000</v>
      </c>
      <c r="D19" s="81">
        <v>2277</v>
      </c>
      <c r="E19" s="56">
        <v>2248</v>
      </c>
      <c r="F19" s="383">
        <f t="shared" si="0"/>
        <v>98.726394378568301</v>
      </c>
    </row>
    <row r="20" spans="1:6" s="6" customFormat="1" ht="24.75" customHeight="1" x14ac:dyDescent="0.2">
      <c r="B20" s="60" t="s">
        <v>164</v>
      </c>
      <c r="C20" s="81"/>
      <c r="D20" s="81">
        <v>4336</v>
      </c>
      <c r="E20" s="81">
        <v>4306</v>
      </c>
      <c r="F20" s="384">
        <f t="shared" si="0"/>
        <v>99.308118081180808</v>
      </c>
    </row>
    <row r="21" spans="1:6" ht="24.75" customHeight="1" x14ac:dyDescent="0.2">
      <c r="A21" s="6"/>
      <c r="B21" s="60" t="s">
        <v>295</v>
      </c>
      <c r="C21" s="81">
        <v>1500</v>
      </c>
      <c r="D21" s="81">
        <v>1500</v>
      </c>
      <c r="E21" s="56">
        <v>1500</v>
      </c>
      <c r="F21" s="383">
        <f t="shared" si="0"/>
        <v>100</v>
      </c>
    </row>
    <row r="22" spans="1:6" ht="24.75" customHeight="1" x14ac:dyDescent="0.2">
      <c r="B22" s="140" t="s">
        <v>94</v>
      </c>
      <c r="C22" s="81">
        <v>5000</v>
      </c>
      <c r="D22" s="81">
        <v>5000</v>
      </c>
      <c r="E22" s="56">
        <v>5000</v>
      </c>
      <c r="F22" s="383">
        <f t="shared" si="0"/>
        <v>100</v>
      </c>
    </row>
    <row r="23" spans="1:6" ht="24.75" customHeight="1" x14ac:dyDescent="0.2">
      <c r="A23" s="6"/>
      <c r="B23" s="60" t="s">
        <v>341</v>
      </c>
      <c r="C23" s="81">
        <v>4000</v>
      </c>
      <c r="D23" s="81">
        <v>4000</v>
      </c>
      <c r="E23" s="56">
        <v>4000</v>
      </c>
      <c r="F23" s="383">
        <f t="shared" si="0"/>
        <v>100</v>
      </c>
    </row>
    <row r="24" spans="1:6" ht="24.75" customHeight="1" x14ac:dyDescent="0.2">
      <c r="A24" s="6"/>
      <c r="B24" s="79" t="s">
        <v>456</v>
      </c>
      <c r="C24" s="81">
        <v>12000</v>
      </c>
      <c r="D24" s="81">
        <v>13946</v>
      </c>
      <c r="E24" s="81">
        <v>10566</v>
      </c>
      <c r="F24" s="383">
        <f t="shared" si="0"/>
        <v>75.76365983077585</v>
      </c>
    </row>
    <row r="25" spans="1:6" ht="24.75" customHeight="1" x14ac:dyDescent="0.2">
      <c r="A25" s="6"/>
      <c r="B25" s="79" t="s">
        <v>1404</v>
      </c>
      <c r="C25" s="85">
        <v>42000</v>
      </c>
      <c r="D25" s="85">
        <v>43566</v>
      </c>
      <c r="E25" s="86">
        <v>33746</v>
      </c>
      <c r="F25" s="383">
        <f t="shared" si="0"/>
        <v>77.459486755726942</v>
      </c>
    </row>
    <row r="26" spans="1:6" ht="24.75" customHeight="1" x14ac:dyDescent="0.2">
      <c r="A26" s="6"/>
      <c r="B26" s="60" t="s">
        <v>95</v>
      </c>
      <c r="C26" s="81">
        <v>1500</v>
      </c>
      <c r="D26" s="81">
        <v>1500</v>
      </c>
      <c r="E26" s="81">
        <v>179</v>
      </c>
      <c r="F26" s="383">
        <f t="shared" si="0"/>
        <v>11.933333333333334</v>
      </c>
    </row>
    <row r="27" spans="1:6" ht="24.75" customHeight="1" x14ac:dyDescent="0.2">
      <c r="B27" s="123" t="s">
        <v>339</v>
      </c>
      <c r="C27" s="85"/>
      <c r="D27" s="85">
        <v>2000</v>
      </c>
      <c r="E27" s="85">
        <v>844</v>
      </c>
      <c r="F27" s="383">
        <f t="shared" si="0"/>
        <v>42.199999999999996</v>
      </c>
    </row>
    <row r="28" spans="1:6" ht="24.75" customHeight="1" x14ac:dyDescent="0.2">
      <c r="A28" s="6"/>
      <c r="B28" s="140" t="s">
        <v>537</v>
      </c>
      <c r="C28" s="81"/>
      <c r="D28" s="81">
        <v>6683</v>
      </c>
      <c r="E28" s="56"/>
      <c r="F28" s="383">
        <f>+E28/D28*100</f>
        <v>0</v>
      </c>
    </row>
    <row r="29" spans="1:6" ht="60" customHeight="1" thickBot="1" x14ac:dyDescent="0.25">
      <c r="B29" s="140" t="s">
        <v>437</v>
      </c>
      <c r="C29" s="434">
        <v>29000</v>
      </c>
      <c r="D29" s="434">
        <v>29000</v>
      </c>
      <c r="E29" s="2">
        <v>29000</v>
      </c>
      <c r="F29" s="435">
        <f>+E29/D29*100</f>
        <v>100</v>
      </c>
    </row>
    <row r="30" spans="1:6" ht="42" customHeight="1" thickBot="1" x14ac:dyDescent="0.3">
      <c r="B30" s="134" t="s">
        <v>296</v>
      </c>
      <c r="C30" s="83">
        <f>SUM(C15:C29)</f>
        <v>342000</v>
      </c>
      <c r="D30" s="83">
        <f>SUM(D15:D29)</f>
        <v>377229</v>
      </c>
      <c r="E30" s="83">
        <f>SUM(E15:E29)</f>
        <v>344840</v>
      </c>
      <c r="F30" s="105">
        <f>+E30/D30*100</f>
        <v>91.413968703360553</v>
      </c>
    </row>
    <row r="31" spans="1:6" ht="27" customHeight="1" thickBot="1" x14ac:dyDescent="0.3">
      <c r="B31" s="25" t="s">
        <v>310</v>
      </c>
      <c r="C31" s="121">
        <f>C30+C13</f>
        <v>342000</v>
      </c>
      <c r="D31" s="121">
        <f>D30+D13</f>
        <v>398077</v>
      </c>
      <c r="E31" s="121">
        <f>E30+E13</f>
        <v>364861</v>
      </c>
      <c r="F31" s="105">
        <f>+E31/D31*100</f>
        <v>91.655885670360263</v>
      </c>
    </row>
    <row r="32" spans="1:6" s="9" customFormat="1" ht="27" customHeight="1" thickBot="1" x14ac:dyDescent="0.3">
      <c r="B32" s="135" t="s">
        <v>311</v>
      </c>
      <c r="C32" s="83">
        <f>C10+C31</f>
        <v>966561</v>
      </c>
      <c r="D32" s="83">
        <f>D10+D31</f>
        <v>1166798</v>
      </c>
      <c r="E32" s="83">
        <f>E10+E31</f>
        <v>1103440</v>
      </c>
      <c r="F32" s="105">
        <f>+E32/D32*100</f>
        <v>94.569925556951588</v>
      </c>
    </row>
    <row r="33" spans="2:6" ht="27" customHeight="1" x14ac:dyDescent="0.2"/>
    <row r="34" spans="2:6" ht="27" customHeight="1" thickBot="1" x14ac:dyDescent="0.25">
      <c r="B34" s="468" t="s">
        <v>39</v>
      </c>
    </row>
    <row r="35" spans="2:6" ht="27" customHeight="1" x14ac:dyDescent="0.25">
      <c r="B35" s="124" t="s">
        <v>59</v>
      </c>
      <c r="C35" s="2669" t="s">
        <v>173</v>
      </c>
      <c r="D35" s="2669"/>
      <c r="E35" s="1261" t="s">
        <v>608</v>
      </c>
      <c r="F35" s="45" t="s">
        <v>206</v>
      </c>
    </row>
    <row r="36" spans="2:6" ht="27" customHeight="1" thickBot="1" x14ac:dyDescent="0.3">
      <c r="B36" s="235"/>
      <c r="C36" s="62" t="s">
        <v>406</v>
      </c>
      <c r="D36" s="62" t="s">
        <v>204</v>
      </c>
      <c r="E36" s="77" t="s">
        <v>205</v>
      </c>
      <c r="F36" s="46" t="s">
        <v>207</v>
      </c>
    </row>
    <row r="37" spans="2:6" ht="42.75" customHeight="1" x14ac:dyDescent="0.25">
      <c r="B37" s="471" t="s">
        <v>521</v>
      </c>
      <c r="C37" s="233"/>
      <c r="D37" s="233">
        <v>14</v>
      </c>
      <c r="E37" s="233">
        <v>14</v>
      </c>
      <c r="F37" s="475">
        <f>+E37/D37*100</f>
        <v>100</v>
      </c>
    </row>
    <row r="38" spans="2:6" ht="42.75" customHeight="1" x14ac:dyDescent="0.25">
      <c r="B38" s="472" t="s">
        <v>522</v>
      </c>
      <c r="C38" s="232"/>
      <c r="D38" s="232">
        <v>17068</v>
      </c>
      <c r="E38" s="232">
        <f>19097-E37-E39</f>
        <v>7504</v>
      </c>
      <c r="F38" s="475">
        <f>+E38/D38*100</f>
        <v>43.965315209749242</v>
      </c>
    </row>
    <row r="39" spans="2:6" ht="42.75" customHeight="1" thickBot="1" x14ac:dyDescent="0.3">
      <c r="B39" s="473" t="s">
        <v>1405</v>
      </c>
      <c r="C39" s="474"/>
      <c r="D39" s="474">
        <v>11579</v>
      </c>
      <c r="E39" s="474">
        <v>11579</v>
      </c>
      <c r="F39" s="475">
        <f>+E39/D39*100</f>
        <v>100</v>
      </c>
    </row>
    <row r="40" spans="2:6" ht="27" customHeight="1" thickBot="1" x14ac:dyDescent="0.3">
      <c r="B40" s="26" t="s">
        <v>299</v>
      </c>
      <c r="C40" s="152">
        <f>+C37+C39</f>
        <v>0</v>
      </c>
      <c r="D40" s="152">
        <f>+D37+D39+D38</f>
        <v>28661</v>
      </c>
      <c r="E40" s="152">
        <f>+E37+E39+E38</f>
        <v>19097</v>
      </c>
      <c r="F40" s="381">
        <f>+E40/D40*100</f>
        <v>66.630613028156731</v>
      </c>
    </row>
    <row r="41" spans="2:6" ht="27" customHeight="1" thickBot="1" x14ac:dyDescent="0.25">
      <c r="B41" s="385"/>
      <c r="C41" s="4"/>
      <c r="D41" s="4"/>
      <c r="E41" s="4"/>
      <c r="F41" s="386"/>
    </row>
    <row r="42" spans="2:6" ht="27" customHeight="1" thickBot="1" x14ac:dyDescent="0.3">
      <c r="B42" s="213" t="s">
        <v>26</v>
      </c>
      <c r="C42" s="469">
        <f>+C32+C40</f>
        <v>966561</v>
      </c>
      <c r="D42" s="469">
        <f>+D32+D40</f>
        <v>1195459</v>
      </c>
      <c r="E42" s="469">
        <f>+E32+E40</f>
        <v>1122537</v>
      </c>
      <c r="F42" s="105">
        <f>+E42/D42*100</f>
        <v>93.900083566228531</v>
      </c>
    </row>
    <row r="47" spans="2:6" ht="15" customHeight="1" x14ac:dyDescent="0.2">
      <c r="B47" s="470"/>
    </row>
  </sheetData>
  <mergeCells count="4">
    <mergeCell ref="B1:C1"/>
    <mergeCell ref="B2:F2"/>
    <mergeCell ref="C5:D5"/>
    <mergeCell ref="C35:D35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0" orientation="portrait" r:id="rId1"/>
  <headerFooter alignWithMargins="0">
    <oddHeader>&amp;R&amp;"Arial,Félkövér"&amp;14 10.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H66"/>
  <sheetViews>
    <sheetView zoomScaleNormal="100" workbookViewId="0">
      <selection activeCell="B1" sqref="B1:E1"/>
    </sheetView>
  </sheetViews>
  <sheetFormatPr defaultRowHeight="15" customHeight="1" x14ac:dyDescent="0.2"/>
  <cols>
    <col min="1" max="1" width="11.5" style="100" bestFit="1" customWidth="1"/>
    <col min="2" max="2" width="111.83203125" style="8" customWidth="1"/>
    <col min="3" max="6" width="22.1640625" style="8" customWidth="1"/>
    <col min="7" max="7" width="39" style="8" customWidth="1"/>
    <col min="8" max="8" width="19.83203125" style="8" customWidth="1"/>
    <col min="9" max="16384" width="9.33203125" style="8"/>
  </cols>
  <sheetData>
    <row r="1" spans="1:8" ht="15" customHeight="1" x14ac:dyDescent="0.25">
      <c r="B1" s="2660"/>
      <c r="C1" s="2660"/>
    </row>
    <row r="2" spans="1:8" ht="24" customHeight="1" x14ac:dyDescent="0.3">
      <c r="B2" s="2667" t="s">
        <v>46</v>
      </c>
      <c r="C2" s="2667"/>
      <c r="D2" s="2668"/>
      <c r="E2" s="2668"/>
      <c r="F2" s="2668"/>
    </row>
    <row r="3" spans="1:8" ht="15" customHeight="1" x14ac:dyDescent="0.25">
      <c r="B3" s="13"/>
      <c r="C3" s="13"/>
    </row>
    <row r="4" spans="1:8" ht="22.5" customHeight="1" thickBot="1" x14ac:dyDescent="0.25">
      <c r="B4" s="236" t="s">
        <v>300</v>
      </c>
      <c r="C4" s="19"/>
      <c r="D4" s="19"/>
      <c r="E4" s="19"/>
      <c r="F4" s="15" t="s">
        <v>38</v>
      </c>
    </row>
    <row r="5" spans="1:8" ht="22.5" customHeight="1" x14ac:dyDescent="0.25">
      <c r="B5" s="426" t="s">
        <v>59</v>
      </c>
      <c r="C5" s="2670" t="s">
        <v>173</v>
      </c>
      <c r="D5" s="2671"/>
      <c r="E5" s="1261" t="s">
        <v>608</v>
      </c>
      <c r="F5" s="45" t="s">
        <v>206</v>
      </c>
    </row>
    <row r="6" spans="1:8" ht="22.5" customHeight="1" thickBot="1" x14ac:dyDescent="0.3">
      <c r="B6" s="507"/>
      <c r="C6" s="62" t="s">
        <v>406</v>
      </c>
      <c r="D6" s="62" t="s">
        <v>204</v>
      </c>
      <c r="E6" s="77" t="s">
        <v>205</v>
      </c>
      <c r="F6" s="46" t="s">
        <v>207</v>
      </c>
    </row>
    <row r="7" spans="1:8" s="10" customFormat="1" ht="44.25" customHeight="1" x14ac:dyDescent="0.25">
      <c r="A7" s="101"/>
      <c r="B7" s="440" t="s">
        <v>64</v>
      </c>
      <c r="C7" s="337">
        <v>199592</v>
      </c>
      <c r="D7" s="337">
        <v>231533</v>
      </c>
      <c r="E7" s="337">
        <f>477412-E8-E9</f>
        <v>205173</v>
      </c>
      <c r="F7" s="467">
        <f t="shared" ref="F7:F28" si="0">+E7/D7*100</f>
        <v>88.615013842519204</v>
      </c>
    </row>
    <row r="8" spans="1:8" s="10" customFormat="1" ht="54" customHeight="1" x14ac:dyDescent="0.25">
      <c r="A8" s="101"/>
      <c r="B8" s="440" t="s">
        <v>65</v>
      </c>
      <c r="C8" s="337">
        <v>230675</v>
      </c>
      <c r="D8" s="337">
        <v>253905</v>
      </c>
      <c r="E8" s="232">
        <v>253905</v>
      </c>
      <c r="F8" s="467">
        <f t="shared" si="0"/>
        <v>100</v>
      </c>
    </row>
    <row r="9" spans="1:8" s="10" customFormat="1" ht="44.25" customHeight="1" thickBot="1" x14ac:dyDescent="0.3">
      <c r="A9" s="101"/>
      <c r="B9" s="347" t="s">
        <v>538</v>
      </c>
      <c r="C9" s="233"/>
      <c r="D9" s="233">
        <v>18334</v>
      </c>
      <c r="E9" s="233">
        <v>18334</v>
      </c>
      <c r="F9" s="467">
        <f t="shared" si="0"/>
        <v>100</v>
      </c>
    </row>
    <row r="10" spans="1:8" s="10" customFormat="1" ht="22.5" customHeight="1" thickBot="1" x14ac:dyDescent="0.3">
      <c r="A10" s="101"/>
      <c r="B10" s="26" t="s">
        <v>302</v>
      </c>
      <c r="C10" s="238">
        <f>SUM(C7:C9)</f>
        <v>430267</v>
      </c>
      <c r="D10" s="83">
        <f>SUM(D7:D9)</f>
        <v>503772</v>
      </c>
      <c r="E10" s="238">
        <f>SUM(E7:E9)</f>
        <v>477412</v>
      </c>
      <c r="F10" s="75">
        <f t="shared" si="0"/>
        <v>94.767474174825111</v>
      </c>
    </row>
    <row r="11" spans="1:8" ht="22.5" customHeight="1" x14ac:dyDescent="0.3">
      <c r="A11" s="437"/>
      <c r="B11" s="506" t="s">
        <v>96</v>
      </c>
      <c r="C11" s="438">
        <v>11770</v>
      </c>
      <c r="D11" s="337">
        <v>0</v>
      </c>
      <c r="E11" s="337"/>
      <c r="F11" s="467"/>
      <c r="G11" s="502"/>
      <c r="H11" s="501"/>
    </row>
    <row r="12" spans="1:8" s="12" customFormat="1" ht="22.5" customHeight="1" x14ac:dyDescent="0.3">
      <c r="A12" s="484"/>
      <c r="B12" s="111" t="s">
        <v>457</v>
      </c>
      <c r="C12" s="84">
        <v>1500</v>
      </c>
      <c r="D12" s="84">
        <v>1500</v>
      </c>
      <c r="E12" s="84">
        <v>500</v>
      </c>
      <c r="F12" s="93">
        <f t="shared" si="0"/>
        <v>33.333333333333329</v>
      </c>
      <c r="G12" s="502"/>
      <c r="H12" s="501"/>
    </row>
    <row r="13" spans="1:8" ht="22.5" customHeight="1" x14ac:dyDescent="0.3">
      <c r="B13" s="427" t="s">
        <v>111</v>
      </c>
      <c r="C13" s="80">
        <v>2000</v>
      </c>
      <c r="D13" s="80">
        <v>0</v>
      </c>
      <c r="E13" s="80"/>
      <c r="F13" s="93"/>
      <c r="G13" s="502"/>
      <c r="H13" s="501"/>
    </row>
    <row r="14" spans="1:8" ht="22.5" customHeight="1" x14ac:dyDescent="0.3">
      <c r="B14" s="60" t="s">
        <v>133</v>
      </c>
      <c r="C14" s="56">
        <v>1500</v>
      </c>
      <c r="D14" s="56">
        <v>0</v>
      </c>
      <c r="E14" s="56"/>
      <c r="F14" s="93"/>
      <c r="G14" s="502"/>
      <c r="H14" s="501"/>
    </row>
    <row r="15" spans="1:8" ht="22.5" customHeight="1" x14ac:dyDescent="0.3">
      <c r="B15" s="60" t="s">
        <v>134</v>
      </c>
      <c r="C15" s="56">
        <v>700</v>
      </c>
      <c r="D15" s="56">
        <v>417</v>
      </c>
      <c r="E15" s="56">
        <v>416</v>
      </c>
      <c r="F15" s="93">
        <f t="shared" si="0"/>
        <v>99.760191846522787</v>
      </c>
      <c r="G15" s="502"/>
      <c r="H15" s="501"/>
    </row>
    <row r="16" spans="1:8" ht="22.5" customHeight="1" x14ac:dyDescent="0.3">
      <c r="B16" s="60" t="s">
        <v>342</v>
      </c>
      <c r="C16" s="56">
        <v>2200</v>
      </c>
      <c r="D16" s="56">
        <v>2652</v>
      </c>
      <c r="E16" s="56">
        <v>2652</v>
      </c>
      <c r="F16" s="93">
        <f t="shared" si="0"/>
        <v>100</v>
      </c>
      <c r="G16" s="502"/>
      <c r="H16" s="501"/>
    </row>
    <row r="17" spans="1:8" ht="22.5" customHeight="1" x14ac:dyDescent="0.3">
      <c r="B17" s="60" t="s">
        <v>115</v>
      </c>
      <c r="C17" s="56">
        <v>2000</v>
      </c>
      <c r="D17" s="56">
        <v>2000</v>
      </c>
      <c r="E17" s="56">
        <v>2000</v>
      </c>
      <c r="F17" s="93">
        <f t="shared" si="0"/>
        <v>100</v>
      </c>
      <c r="G17" s="502"/>
      <c r="H17" s="501"/>
    </row>
    <row r="18" spans="1:8" ht="22.5" customHeight="1" x14ac:dyDescent="0.3">
      <c r="B18" s="60" t="s">
        <v>135</v>
      </c>
      <c r="C18" s="56">
        <v>3000</v>
      </c>
      <c r="D18" s="56">
        <v>0</v>
      </c>
      <c r="E18" s="56"/>
      <c r="F18" s="93"/>
      <c r="G18" s="502"/>
      <c r="H18" s="501"/>
    </row>
    <row r="19" spans="1:8" ht="39.75" customHeight="1" x14ac:dyDescent="0.3">
      <c r="B19" s="140" t="s">
        <v>97</v>
      </c>
      <c r="C19" s="56">
        <v>2000</v>
      </c>
      <c r="D19" s="56">
        <v>2000</v>
      </c>
      <c r="E19" s="56">
        <v>2000</v>
      </c>
      <c r="F19" s="93">
        <f t="shared" si="0"/>
        <v>100</v>
      </c>
      <c r="G19" s="502"/>
      <c r="H19" s="501"/>
    </row>
    <row r="20" spans="1:8" ht="22.5" customHeight="1" x14ac:dyDescent="0.3">
      <c r="B20" s="234" t="s">
        <v>490</v>
      </c>
      <c r="C20" s="233">
        <v>34334</v>
      </c>
      <c r="D20" s="233">
        <v>34334</v>
      </c>
      <c r="E20" s="233">
        <v>34334</v>
      </c>
      <c r="F20" s="467">
        <f t="shared" si="0"/>
        <v>100</v>
      </c>
      <c r="G20" s="502"/>
      <c r="H20" s="501"/>
    </row>
    <row r="21" spans="1:8" ht="22.5" customHeight="1" x14ac:dyDescent="0.3">
      <c r="B21" s="60" t="s">
        <v>151</v>
      </c>
      <c r="C21" s="56">
        <v>3000</v>
      </c>
      <c r="D21" s="56">
        <v>3000</v>
      </c>
      <c r="E21" s="81">
        <v>2995</v>
      </c>
      <c r="F21" s="93">
        <f t="shared" si="0"/>
        <v>99.833333333333329</v>
      </c>
      <c r="G21" s="502"/>
      <c r="H21" s="501"/>
    </row>
    <row r="22" spans="1:8" ht="51" customHeight="1" x14ac:dyDescent="0.3">
      <c r="B22" s="341" t="s">
        <v>1406</v>
      </c>
      <c r="C22" s="86">
        <v>160</v>
      </c>
      <c r="D22" s="86">
        <v>160</v>
      </c>
      <c r="E22" s="85">
        <v>160</v>
      </c>
      <c r="F22" s="93">
        <f t="shared" si="0"/>
        <v>100</v>
      </c>
      <c r="G22" s="502"/>
      <c r="H22" s="501"/>
    </row>
    <row r="23" spans="1:8" ht="44.25" customHeight="1" x14ac:dyDescent="0.3">
      <c r="B23" s="401" t="s">
        <v>250</v>
      </c>
      <c r="C23" s="56"/>
      <c r="D23" s="56">
        <v>4088</v>
      </c>
      <c r="E23" s="55">
        <v>4078</v>
      </c>
      <c r="F23" s="311">
        <f t="shared" si="0"/>
        <v>99.755381604696666</v>
      </c>
      <c r="G23" s="502"/>
      <c r="H23" s="502"/>
    </row>
    <row r="24" spans="1:8" ht="22.5" customHeight="1" x14ac:dyDescent="0.3">
      <c r="B24" s="401" t="s">
        <v>458</v>
      </c>
      <c r="C24" s="2">
        <v>30000</v>
      </c>
      <c r="D24" s="2">
        <v>26642</v>
      </c>
      <c r="E24" s="47">
        <v>11991</v>
      </c>
      <c r="F24" s="311">
        <f>+E24/D24*100</f>
        <v>45.00788229111928</v>
      </c>
      <c r="G24" s="501"/>
      <c r="H24" s="501"/>
    </row>
    <row r="25" spans="1:8" ht="22.5" customHeight="1" x14ac:dyDescent="0.2">
      <c r="B25" s="401" t="s">
        <v>459</v>
      </c>
      <c r="C25" s="56">
        <v>9536</v>
      </c>
      <c r="D25" s="56">
        <v>0</v>
      </c>
      <c r="E25" s="55"/>
      <c r="F25" s="311"/>
    </row>
    <row r="26" spans="1:8" ht="39" customHeight="1" x14ac:dyDescent="0.2">
      <c r="B26" s="140" t="s">
        <v>539</v>
      </c>
      <c r="C26" s="508"/>
      <c r="D26" s="2">
        <v>357</v>
      </c>
      <c r="E26" s="47">
        <v>326</v>
      </c>
      <c r="F26" s="93">
        <f t="shared" si="0"/>
        <v>91.31652661064426</v>
      </c>
    </row>
    <row r="27" spans="1:8" ht="22.5" customHeight="1" thickBot="1" x14ac:dyDescent="0.3">
      <c r="B27" s="21" t="s">
        <v>312</v>
      </c>
      <c r="C27" s="65">
        <f>SUM(C11:C26)</f>
        <v>103700</v>
      </c>
      <c r="D27" s="122">
        <f>SUM(D11:D26)</f>
        <v>77150</v>
      </c>
      <c r="E27" s="65">
        <f>SUM(E11:E26)</f>
        <v>61452</v>
      </c>
      <c r="F27" s="320">
        <f t="shared" si="0"/>
        <v>79.652624756966944</v>
      </c>
    </row>
    <row r="28" spans="1:8" s="10" customFormat="1" ht="22.5" customHeight="1" thickBot="1" x14ac:dyDescent="0.3">
      <c r="A28" s="101"/>
      <c r="B28" s="22" t="s">
        <v>313</v>
      </c>
      <c r="C28" s="66">
        <f>+C10+C27</f>
        <v>533967</v>
      </c>
      <c r="D28" s="121">
        <f>+D10+D27</f>
        <v>580922</v>
      </c>
      <c r="E28" s="66">
        <f>+E10+E27</f>
        <v>538864</v>
      </c>
      <c r="F28" s="153">
        <f t="shared" si="0"/>
        <v>92.760129587104629</v>
      </c>
    </row>
    <row r="30" spans="1:8" ht="23.25" customHeight="1" thickBot="1" x14ac:dyDescent="0.35">
      <c r="B30" s="210" t="s">
        <v>39</v>
      </c>
      <c r="C30" s="146"/>
      <c r="D30" s="146"/>
      <c r="E30" s="146"/>
      <c r="F30" s="15" t="s">
        <v>38</v>
      </c>
    </row>
    <row r="31" spans="1:8" ht="22.5" customHeight="1" x14ac:dyDescent="0.25">
      <c r="B31" s="1263" t="s">
        <v>59</v>
      </c>
      <c r="C31" s="2670" t="s">
        <v>173</v>
      </c>
      <c r="D31" s="2669"/>
      <c r="E31" s="1261" t="s">
        <v>608</v>
      </c>
      <c r="F31" s="45" t="s">
        <v>206</v>
      </c>
    </row>
    <row r="32" spans="1:8" ht="22.5" customHeight="1" thickBot="1" x14ac:dyDescent="0.3">
      <c r="B32" s="99"/>
      <c r="C32" s="62" t="s">
        <v>406</v>
      </c>
      <c r="D32" s="62" t="s">
        <v>204</v>
      </c>
      <c r="E32" s="77" t="s">
        <v>205</v>
      </c>
      <c r="F32" s="46" t="s">
        <v>207</v>
      </c>
    </row>
    <row r="33" spans="1:6" s="340" customFormat="1" ht="56.25" customHeight="1" x14ac:dyDescent="0.2">
      <c r="A33" s="343"/>
      <c r="B33" s="414" t="s">
        <v>557</v>
      </c>
      <c r="C33" s="476">
        <v>1270</v>
      </c>
      <c r="D33" s="477">
        <v>4630</v>
      </c>
      <c r="E33" s="477">
        <v>4630</v>
      </c>
      <c r="F33" s="359">
        <f>+E33/D33*100</f>
        <v>100</v>
      </c>
    </row>
    <row r="34" spans="1:6" s="340" customFormat="1" ht="44.25" customHeight="1" x14ac:dyDescent="0.25">
      <c r="A34" s="343"/>
      <c r="B34" s="413" t="s">
        <v>540</v>
      </c>
      <c r="C34" s="478"/>
      <c r="D34" s="479">
        <v>5945</v>
      </c>
      <c r="E34" s="479">
        <v>5945</v>
      </c>
      <c r="F34" s="242">
        <f>+E34/D34*100</f>
        <v>100</v>
      </c>
    </row>
    <row r="35" spans="1:6" s="340" customFormat="1" ht="44.25" customHeight="1" thickBot="1" x14ac:dyDescent="0.25">
      <c r="A35" s="343"/>
      <c r="B35" s="412" t="s">
        <v>556</v>
      </c>
      <c r="C35" s="474"/>
      <c r="D35" s="480">
        <v>11493</v>
      </c>
      <c r="E35" s="474">
        <f>17648-E34-E33</f>
        <v>7073</v>
      </c>
      <c r="F35" s="359">
        <f>+E35/D35*100</f>
        <v>61.541808057078221</v>
      </c>
    </row>
    <row r="36" spans="1:6" ht="22.5" customHeight="1" thickBot="1" x14ac:dyDescent="0.3">
      <c r="B36" s="26" t="s">
        <v>302</v>
      </c>
      <c r="C36" s="316">
        <f>SUM(C33:C35)</f>
        <v>1270</v>
      </c>
      <c r="D36" s="152">
        <f>SUM(D33:D35)</f>
        <v>22068</v>
      </c>
      <c r="E36" s="152">
        <f>SUM(E33:E35)</f>
        <v>17648</v>
      </c>
      <c r="F36" s="339">
        <f>+E36/D36*100</f>
        <v>79.970998731194484</v>
      </c>
    </row>
    <row r="37" spans="1:6" ht="22.5" customHeight="1" thickBot="1" x14ac:dyDescent="0.3">
      <c r="B37" s="229"/>
      <c r="C37" s="212"/>
      <c r="D37" s="212"/>
      <c r="E37" s="237"/>
      <c r="F37" s="1558"/>
    </row>
    <row r="38" spans="1:6" ht="22.5" customHeight="1" thickBot="1" x14ac:dyDescent="0.3">
      <c r="B38" s="213" t="s">
        <v>23</v>
      </c>
      <c r="C38" s="214">
        <f>+C28+C36</f>
        <v>535237</v>
      </c>
      <c r="D38" s="214">
        <f>+D28+D36</f>
        <v>602990</v>
      </c>
      <c r="E38" s="214">
        <f>+E28+E36</f>
        <v>556512</v>
      </c>
      <c r="F38" s="315">
        <f>+E38/D38*100</f>
        <v>92.292077812235689</v>
      </c>
    </row>
    <row r="40" spans="1:6" ht="15" customHeight="1" x14ac:dyDescent="0.2">
      <c r="E40" s="5"/>
    </row>
    <row r="41" spans="1:6" ht="15" customHeight="1" x14ac:dyDescent="0.2">
      <c r="E41" s="5"/>
    </row>
    <row r="42" spans="1:6" ht="15" customHeight="1" x14ac:dyDescent="0.2">
      <c r="E42" s="5"/>
    </row>
    <row r="50" spans="2:2" ht="15" customHeight="1" x14ac:dyDescent="0.2">
      <c r="B50" s="342"/>
    </row>
    <row r="65" spans="7:7" ht="15" customHeight="1" x14ac:dyDescent="0.2">
      <c r="G65" s="12"/>
    </row>
    <row r="66" spans="7:7" ht="15" customHeight="1" x14ac:dyDescent="0.2">
      <c r="G66" s="12"/>
    </row>
  </sheetData>
  <mergeCells count="4">
    <mergeCell ref="B1:C1"/>
    <mergeCell ref="C5:D5"/>
    <mergeCell ref="B2:F2"/>
    <mergeCell ref="C31:D31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0" orientation="portrait" horizontalDpi="300" verticalDpi="300" r:id="rId1"/>
  <headerFooter alignWithMargins="0">
    <oddHeader xml:space="preserve">&amp;R&amp;"Arial,Félkövér"&amp;16 11. melléklet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F48"/>
  <sheetViews>
    <sheetView zoomScaleNormal="100" workbookViewId="0">
      <selection activeCell="B1" sqref="B1:E1"/>
    </sheetView>
  </sheetViews>
  <sheetFormatPr defaultRowHeight="15" customHeight="1" x14ac:dyDescent="0.2"/>
  <cols>
    <col min="1" max="1" width="17.83203125" style="100" customWidth="1"/>
    <col min="2" max="2" width="103.83203125" style="8" customWidth="1"/>
    <col min="3" max="3" width="22.33203125" style="8" customWidth="1"/>
    <col min="4" max="5" width="22.33203125" style="5" customWidth="1"/>
    <col min="6" max="6" width="22.33203125" style="8" customWidth="1"/>
    <col min="7" max="16384" width="9.33203125" style="8"/>
  </cols>
  <sheetData>
    <row r="1" spans="1:6" ht="15" customHeight="1" x14ac:dyDescent="0.25">
      <c r="B1" s="2660"/>
      <c r="C1" s="2660"/>
    </row>
    <row r="2" spans="1:6" ht="30.75" customHeight="1" x14ac:dyDescent="0.3">
      <c r="B2" s="2672" t="s">
        <v>61</v>
      </c>
      <c r="C2" s="2672"/>
      <c r="D2" s="2672"/>
      <c r="E2" s="2672"/>
      <c r="F2" s="2672"/>
    </row>
    <row r="4" spans="1:6" ht="24" customHeight="1" thickBot="1" x14ac:dyDescent="0.25">
      <c r="B4" s="236" t="s">
        <v>300</v>
      </c>
      <c r="C4" s="19"/>
      <c r="D4" s="91"/>
      <c r="E4" s="91"/>
      <c r="F4" s="15" t="s">
        <v>38</v>
      </c>
    </row>
    <row r="5" spans="1:6" ht="24" customHeight="1" x14ac:dyDescent="0.25">
      <c r="B5" s="426" t="s">
        <v>110</v>
      </c>
      <c r="C5" s="2670" t="s">
        <v>173</v>
      </c>
      <c r="D5" s="2671"/>
      <c r="E5" s="1261" t="s">
        <v>608</v>
      </c>
      <c r="F5" s="45" t="s">
        <v>206</v>
      </c>
    </row>
    <row r="6" spans="1:6" ht="24" customHeight="1" thickBot="1" x14ac:dyDescent="0.3">
      <c r="B6" s="1559"/>
      <c r="C6" s="62" t="s">
        <v>406</v>
      </c>
      <c r="D6" s="90" t="s">
        <v>204</v>
      </c>
      <c r="E6" s="77" t="s">
        <v>205</v>
      </c>
      <c r="F6" s="46" t="s">
        <v>207</v>
      </c>
    </row>
    <row r="7" spans="1:6" ht="39.950000000000003" customHeight="1" x14ac:dyDescent="0.2">
      <c r="B7" s="506" t="s">
        <v>66</v>
      </c>
      <c r="C7" s="438">
        <v>497998</v>
      </c>
      <c r="D7" s="438">
        <v>596752</v>
      </c>
      <c r="E7" s="232">
        <f>638017-E8-E9</f>
        <v>593968</v>
      </c>
      <c r="F7" s="467">
        <f t="shared" ref="F7:F15" si="0">+E7/D7*100</f>
        <v>99.533474542188387</v>
      </c>
    </row>
    <row r="8" spans="1:6" ht="39.950000000000003" customHeight="1" x14ac:dyDescent="0.2">
      <c r="B8" s="442" t="s">
        <v>67</v>
      </c>
      <c r="C8" s="232">
        <v>49527</v>
      </c>
      <c r="D8" s="232">
        <v>43543</v>
      </c>
      <c r="E8" s="232">
        <v>43543</v>
      </c>
      <c r="F8" s="318">
        <f t="shared" si="0"/>
        <v>100</v>
      </c>
    </row>
    <row r="9" spans="1:6" ht="39.950000000000003" customHeight="1" thickBot="1" x14ac:dyDescent="0.25">
      <c r="B9" s="443" t="s">
        <v>541</v>
      </c>
      <c r="C9" s="233"/>
      <c r="D9" s="233">
        <v>506</v>
      </c>
      <c r="E9" s="233">
        <v>506</v>
      </c>
      <c r="F9" s="467">
        <f t="shared" si="0"/>
        <v>100</v>
      </c>
    </row>
    <row r="10" spans="1:6" ht="24" customHeight="1" thickBot="1" x14ac:dyDescent="0.3">
      <c r="B10" s="26" t="s">
        <v>314</v>
      </c>
      <c r="C10" s="238">
        <f>SUM(C7:C9)</f>
        <v>547525</v>
      </c>
      <c r="D10" s="83">
        <f>SUM(D7:D9)</f>
        <v>640801</v>
      </c>
      <c r="E10" s="238">
        <f>SUM(E7:E9)</f>
        <v>638017</v>
      </c>
      <c r="F10" s="75">
        <f t="shared" si="0"/>
        <v>99.565543749151459</v>
      </c>
    </row>
    <row r="11" spans="1:6" ht="24" customHeight="1" x14ac:dyDescent="0.2">
      <c r="B11" s="239" t="s">
        <v>34</v>
      </c>
      <c r="C11" s="232">
        <v>300</v>
      </c>
      <c r="D11" s="232">
        <v>200</v>
      </c>
      <c r="E11" s="232">
        <v>0</v>
      </c>
      <c r="F11" s="318">
        <f t="shared" si="0"/>
        <v>0</v>
      </c>
    </row>
    <row r="12" spans="1:6" s="12" customFormat="1" ht="24" customHeight="1" x14ac:dyDescent="0.2">
      <c r="A12" s="102"/>
      <c r="B12" s="60" t="s">
        <v>103</v>
      </c>
      <c r="C12" s="55"/>
      <c r="D12" s="81">
        <v>254</v>
      </c>
      <c r="E12" s="55">
        <v>254</v>
      </c>
      <c r="F12" s="314">
        <f t="shared" si="0"/>
        <v>100</v>
      </c>
    </row>
    <row r="13" spans="1:6" ht="69" customHeight="1" thickBot="1" x14ac:dyDescent="0.25">
      <c r="B13" s="123" t="s">
        <v>238</v>
      </c>
      <c r="C13" s="49">
        <v>3000</v>
      </c>
      <c r="D13" s="2">
        <v>3000</v>
      </c>
      <c r="E13" s="49">
        <v>3000</v>
      </c>
      <c r="F13" s="93">
        <f t="shared" si="0"/>
        <v>100</v>
      </c>
    </row>
    <row r="14" spans="1:6" ht="24.75" customHeight="1" thickBot="1" x14ac:dyDescent="0.3">
      <c r="B14" s="26" t="s">
        <v>306</v>
      </c>
      <c r="C14" s="177">
        <f>SUM(C11:C13)</f>
        <v>3300</v>
      </c>
      <c r="D14" s="1560">
        <f>SUM(D11:D13)</f>
        <v>3454</v>
      </c>
      <c r="E14" s="177">
        <f>SUM(E11:E13)</f>
        <v>3254</v>
      </c>
      <c r="F14" s="153">
        <f t="shared" si="0"/>
        <v>94.209612044006946</v>
      </c>
    </row>
    <row r="15" spans="1:6" ht="24" customHeight="1" thickBot="1" x14ac:dyDescent="0.3">
      <c r="B15" s="16" t="s">
        <v>307</v>
      </c>
      <c r="C15" s="66">
        <f>+C10+C14</f>
        <v>550825</v>
      </c>
      <c r="D15" s="121">
        <f>+D10+D14</f>
        <v>644255</v>
      </c>
      <c r="E15" s="66">
        <f>+E10+E14</f>
        <v>641271</v>
      </c>
      <c r="F15" s="75">
        <f t="shared" si="0"/>
        <v>99.536829361044937</v>
      </c>
    </row>
    <row r="16" spans="1:6" ht="20.100000000000001" customHeight="1" x14ac:dyDescent="0.25">
      <c r="B16" s="20"/>
      <c r="C16" s="3"/>
      <c r="D16" s="3"/>
      <c r="E16" s="3"/>
      <c r="F16" s="103"/>
    </row>
    <row r="17" spans="2:6" ht="24.75" customHeight="1" thickBot="1" x14ac:dyDescent="0.3">
      <c r="B17" s="236" t="s">
        <v>39</v>
      </c>
      <c r="C17" s="3"/>
      <c r="D17" s="3"/>
      <c r="E17" s="3"/>
      <c r="F17" s="103"/>
    </row>
    <row r="18" spans="2:6" ht="24.75" customHeight="1" x14ac:dyDescent="0.25">
      <c r="B18" s="1263" t="s">
        <v>59</v>
      </c>
      <c r="C18" s="2670" t="s">
        <v>173</v>
      </c>
      <c r="D18" s="2671"/>
      <c r="E18" s="1262" t="s">
        <v>608</v>
      </c>
      <c r="F18" s="45" t="s">
        <v>206</v>
      </c>
    </row>
    <row r="19" spans="2:6" ht="24.75" customHeight="1" thickBot="1" x14ac:dyDescent="0.3">
      <c r="B19" s="99"/>
      <c r="C19" s="537" t="s">
        <v>406</v>
      </c>
      <c r="D19" s="90" t="s">
        <v>204</v>
      </c>
      <c r="E19" s="256" t="s">
        <v>205</v>
      </c>
      <c r="F19" s="46" t="s">
        <v>207</v>
      </c>
    </row>
    <row r="20" spans="2:6" ht="41.1" customHeight="1" x14ac:dyDescent="0.2">
      <c r="B20" s="444" t="s">
        <v>67</v>
      </c>
      <c r="C20" s="1561"/>
      <c r="D20" s="233"/>
      <c r="E20" s="1562"/>
      <c r="F20" s="318"/>
    </row>
    <row r="21" spans="2:6" ht="41.1" customHeight="1" x14ac:dyDescent="0.2">
      <c r="B21" s="347" t="s">
        <v>66</v>
      </c>
      <c r="C21" s="241">
        <v>1903</v>
      </c>
      <c r="D21" s="232">
        <v>6567</v>
      </c>
      <c r="E21" s="1563">
        <f>6313-E22</f>
        <v>5654</v>
      </c>
      <c r="F21" s="318">
        <f>+E21/D21*100</f>
        <v>86.097152428810716</v>
      </c>
    </row>
    <row r="22" spans="2:6" ht="41.1" customHeight="1" thickBot="1" x14ac:dyDescent="0.25">
      <c r="B22" s="440" t="s">
        <v>541</v>
      </c>
      <c r="C22" s="313"/>
      <c r="D22" s="233">
        <v>659</v>
      </c>
      <c r="E22" s="1562">
        <v>659</v>
      </c>
      <c r="F22" s="318">
        <f>+E22/D22*100</f>
        <v>100</v>
      </c>
    </row>
    <row r="23" spans="2:6" ht="25.5" customHeight="1" thickBot="1" x14ac:dyDescent="0.3">
      <c r="B23" s="26" t="s">
        <v>314</v>
      </c>
      <c r="C23" s="150">
        <f>SUM(C20:C22)</f>
        <v>1903</v>
      </c>
      <c r="D23" s="27">
        <f>SUM(D20:D22)</f>
        <v>7226</v>
      </c>
      <c r="E23" s="1564">
        <f>SUM(E20:E22)</f>
        <v>6313</v>
      </c>
      <c r="F23" s="1565">
        <f>+E23/D23*100</f>
        <v>87.365070578466657</v>
      </c>
    </row>
    <row r="24" spans="2:6" ht="15" customHeight="1" thickBot="1" x14ac:dyDescent="0.3">
      <c r="B24" s="229"/>
      <c r="C24" s="212"/>
      <c r="D24" s="212"/>
      <c r="E24" s="237"/>
      <c r="F24" s="1566"/>
    </row>
    <row r="25" spans="2:6" ht="24.75" customHeight="1" thickBot="1" x14ac:dyDescent="0.3">
      <c r="B25" s="213" t="s">
        <v>315</v>
      </c>
      <c r="C25" s="240">
        <f t="shared" ref="C25:F25" si="1">C15+C23</f>
        <v>552728</v>
      </c>
      <c r="D25" s="214">
        <f t="shared" si="1"/>
        <v>651481</v>
      </c>
      <c r="E25" s="214">
        <f t="shared" si="1"/>
        <v>647584</v>
      </c>
      <c r="F25" s="315">
        <f t="shared" si="1"/>
        <v>186.90189993951159</v>
      </c>
    </row>
    <row r="28" spans="2:6" ht="15" customHeight="1" x14ac:dyDescent="0.2">
      <c r="B28" s="15"/>
    </row>
    <row r="46" spans="1:2" ht="15" customHeight="1" x14ac:dyDescent="0.2">
      <c r="A46" s="387"/>
      <c r="B46" s="1"/>
    </row>
    <row r="47" spans="1:2" ht="15" customHeight="1" x14ac:dyDescent="0.2">
      <c r="A47" s="387"/>
      <c r="B47" s="388"/>
    </row>
    <row r="48" spans="1:2" ht="15" customHeight="1" x14ac:dyDescent="0.2">
      <c r="A48" s="387"/>
      <c r="B48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 alignWithMargins="0">
    <oddHeader>&amp;R&amp;"Arial,Félkövér"&amp;14 12.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F99"/>
  <sheetViews>
    <sheetView zoomScale="75" zoomScaleNormal="75" zoomScaleSheetLayoutView="75" workbookViewId="0">
      <selection activeCell="B1" sqref="B1:E1"/>
    </sheetView>
  </sheetViews>
  <sheetFormatPr defaultRowHeight="15" customHeight="1" x14ac:dyDescent="0.2"/>
  <cols>
    <col min="1" max="1" width="21" style="100" customWidth="1"/>
    <col min="2" max="2" width="167.83203125" style="8" customWidth="1"/>
    <col min="3" max="3" width="36.83203125" style="8" customWidth="1"/>
    <col min="4" max="5" width="36.83203125" style="5" customWidth="1"/>
    <col min="6" max="6" width="36.83203125" style="8" customWidth="1"/>
    <col min="7" max="16384" width="9.33203125" style="8"/>
  </cols>
  <sheetData>
    <row r="1" spans="1:6" ht="8.25" customHeight="1" x14ac:dyDescent="0.25">
      <c r="B1" s="2660"/>
      <c r="C1" s="2660"/>
    </row>
    <row r="2" spans="1:6" ht="33" customHeight="1" x14ac:dyDescent="0.35">
      <c r="B2" s="2675" t="s">
        <v>421</v>
      </c>
      <c r="C2" s="2675"/>
      <c r="D2" s="2675"/>
      <c r="E2" s="2675"/>
      <c r="F2" s="2675"/>
    </row>
    <row r="3" spans="1:6" ht="29.25" customHeight="1" thickBot="1" x14ac:dyDescent="0.35">
      <c r="B3" s="404"/>
      <c r="C3" s="405"/>
      <c r="D3" s="406"/>
      <c r="E3" s="406"/>
      <c r="F3" s="405" t="s">
        <v>38</v>
      </c>
    </row>
    <row r="4" spans="1:6" ht="30" customHeight="1" x14ac:dyDescent="0.3">
      <c r="A4" s="407"/>
      <c r="B4" s="1567" t="s">
        <v>59</v>
      </c>
      <c r="C4" s="2673" t="s">
        <v>173</v>
      </c>
      <c r="D4" s="2674"/>
      <c r="E4" s="1568" t="s">
        <v>608</v>
      </c>
      <c r="F4" s="1569" t="s">
        <v>206</v>
      </c>
    </row>
    <row r="5" spans="1:6" ht="30" customHeight="1" thickBot="1" x14ac:dyDescent="0.35">
      <c r="A5" s="407"/>
      <c r="B5" s="1570"/>
      <c r="C5" s="1571" t="s">
        <v>406</v>
      </c>
      <c r="D5" s="1572" t="s">
        <v>204</v>
      </c>
      <c r="E5" s="1573" t="s">
        <v>205</v>
      </c>
      <c r="F5" s="1574" t="s">
        <v>207</v>
      </c>
    </row>
    <row r="6" spans="1:6" ht="30" customHeight="1" x14ac:dyDescent="0.3">
      <c r="A6" s="407"/>
      <c r="B6" s="1575" t="s">
        <v>129</v>
      </c>
      <c r="C6" s="1576">
        <v>135594</v>
      </c>
      <c r="D6" s="1576">
        <v>174207</v>
      </c>
      <c r="E6" s="1576">
        <v>146942</v>
      </c>
      <c r="F6" s="1577">
        <f>+E6/D6*100</f>
        <v>84.349078969272185</v>
      </c>
    </row>
    <row r="7" spans="1:6" ht="30" customHeight="1" x14ac:dyDescent="0.3">
      <c r="A7" s="407"/>
      <c r="B7" s="1578" t="s">
        <v>87</v>
      </c>
      <c r="C7" s="1579">
        <v>1699983</v>
      </c>
      <c r="D7" s="1580">
        <v>1776471</v>
      </c>
      <c r="E7" s="1580">
        <v>1532372</v>
      </c>
      <c r="F7" s="1581">
        <f>+E7/D7*100</f>
        <v>86.259330999492818</v>
      </c>
    </row>
    <row r="8" spans="1:6" ht="30" customHeight="1" x14ac:dyDescent="0.3">
      <c r="A8" s="407"/>
      <c r="B8" s="1582" t="s">
        <v>279</v>
      </c>
      <c r="C8" s="1583">
        <v>191226</v>
      </c>
      <c r="D8" s="1584">
        <v>199783</v>
      </c>
      <c r="E8" s="1584">
        <v>178058</v>
      </c>
      <c r="F8" s="1585">
        <f>+E8/D8*100</f>
        <v>89.125701386003826</v>
      </c>
    </row>
    <row r="9" spans="1:6" ht="30" customHeight="1" thickBot="1" x14ac:dyDescent="0.35">
      <c r="A9" s="407"/>
      <c r="B9" s="1586" t="s">
        <v>420</v>
      </c>
      <c r="C9" s="1587">
        <f>SUM(C6:C8)</f>
        <v>2026803</v>
      </c>
      <c r="D9" s="1588">
        <f>SUM(D6:D8)</f>
        <v>2150461</v>
      </c>
      <c r="E9" s="1588">
        <f>SUM(E6:E8)</f>
        <v>1857372</v>
      </c>
      <c r="F9" s="1589">
        <f>+E9/D9*100</f>
        <v>86.370875826160059</v>
      </c>
    </row>
    <row r="10" spans="1:6" ht="30" customHeight="1" x14ac:dyDescent="0.35">
      <c r="A10" s="407"/>
      <c r="B10" s="1590" t="s">
        <v>415</v>
      </c>
      <c r="C10" s="1591"/>
      <c r="D10" s="1576"/>
      <c r="E10" s="1576"/>
      <c r="F10" s="1577"/>
    </row>
    <row r="11" spans="1:6" s="12" customFormat="1" ht="30" customHeight="1" x14ac:dyDescent="0.3">
      <c r="A11" s="408"/>
      <c r="B11" s="1592" t="s">
        <v>19</v>
      </c>
      <c r="C11" s="1593">
        <v>250000</v>
      </c>
      <c r="D11" s="1594">
        <v>250000</v>
      </c>
      <c r="E11" s="1594">
        <v>150177</v>
      </c>
      <c r="F11" s="1595">
        <f t="shared" ref="F11:F19" si="0">+E11/D11*100</f>
        <v>60.070800000000006</v>
      </c>
    </row>
    <row r="12" spans="1:6" s="12" customFormat="1" ht="30" customHeight="1" x14ac:dyDescent="0.3">
      <c r="A12" s="409"/>
      <c r="B12" s="1596" t="s">
        <v>416</v>
      </c>
      <c r="C12" s="1597">
        <v>600000</v>
      </c>
      <c r="D12" s="1597">
        <v>600000</v>
      </c>
      <c r="E12" s="1597">
        <f>722344-1</f>
        <v>722343</v>
      </c>
      <c r="F12" s="1598">
        <f t="shared" si="0"/>
        <v>120.3905</v>
      </c>
    </row>
    <row r="13" spans="1:6" s="12" customFormat="1" ht="30" customHeight="1" x14ac:dyDescent="0.3">
      <c r="A13" s="409"/>
      <c r="B13" s="1596" t="s">
        <v>174</v>
      </c>
      <c r="C13" s="1597">
        <v>70000</v>
      </c>
      <c r="D13" s="1599">
        <v>0</v>
      </c>
      <c r="E13" s="1599"/>
      <c r="F13" s="1598"/>
    </row>
    <row r="14" spans="1:6" ht="30" customHeight="1" x14ac:dyDescent="0.3">
      <c r="A14" s="407"/>
      <c r="B14" s="1600" t="s">
        <v>438</v>
      </c>
      <c r="C14" s="1601"/>
      <c r="D14" s="1602">
        <v>36</v>
      </c>
      <c r="E14" s="1602">
        <v>36</v>
      </c>
      <c r="F14" s="1603">
        <f t="shared" si="0"/>
        <v>100</v>
      </c>
    </row>
    <row r="15" spans="1:6" ht="30" customHeight="1" x14ac:dyDescent="0.3">
      <c r="A15" s="407"/>
      <c r="B15" s="1596" t="s">
        <v>372</v>
      </c>
      <c r="C15" s="1597"/>
      <c r="D15" s="1597">
        <v>2350</v>
      </c>
      <c r="E15" s="1597">
        <v>2350</v>
      </c>
      <c r="F15" s="1598">
        <f t="shared" si="0"/>
        <v>100</v>
      </c>
    </row>
    <row r="16" spans="1:6" ht="30" customHeight="1" x14ac:dyDescent="0.3">
      <c r="A16" s="407"/>
      <c r="B16" s="1596" t="s">
        <v>343</v>
      </c>
      <c r="C16" s="1597"/>
      <c r="D16" s="1597">
        <v>53085</v>
      </c>
      <c r="E16" s="1597">
        <v>53085</v>
      </c>
      <c r="F16" s="1598">
        <f t="shared" si="0"/>
        <v>100</v>
      </c>
    </row>
    <row r="17" spans="1:6" ht="30" customHeight="1" x14ac:dyDescent="0.3">
      <c r="A17" s="407"/>
      <c r="B17" s="1604" t="s">
        <v>344</v>
      </c>
      <c r="C17" s="1594"/>
      <c r="D17" s="1594">
        <v>27915</v>
      </c>
      <c r="E17" s="1594">
        <v>27915</v>
      </c>
      <c r="F17" s="1598">
        <f t="shared" si="0"/>
        <v>100</v>
      </c>
    </row>
    <row r="18" spans="1:6" ht="30" customHeight="1" x14ac:dyDescent="0.3">
      <c r="A18" s="407"/>
      <c r="B18" s="1596" t="s">
        <v>12</v>
      </c>
      <c r="C18" s="1597">
        <v>366370</v>
      </c>
      <c r="D18" s="1597">
        <v>366370</v>
      </c>
      <c r="E18" s="1597">
        <v>366370</v>
      </c>
      <c r="F18" s="1598">
        <f t="shared" si="0"/>
        <v>100</v>
      </c>
    </row>
    <row r="19" spans="1:6" ht="30" customHeight="1" x14ac:dyDescent="0.3">
      <c r="A19" s="407"/>
      <c r="B19" s="1605" t="s">
        <v>162</v>
      </c>
      <c r="C19" s="1606">
        <f>SUM(C11:C18)</f>
        <v>1286370</v>
      </c>
      <c r="D19" s="1607">
        <f>SUM(D11:D18)</f>
        <v>1299756</v>
      </c>
      <c r="E19" s="1607">
        <f>SUM(E11:E18)</f>
        <v>1322276</v>
      </c>
      <c r="F19" s="1608">
        <f t="shared" si="0"/>
        <v>101.73263289417397</v>
      </c>
    </row>
    <row r="20" spans="1:6" ht="30" customHeight="1" x14ac:dyDescent="0.35">
      <c r="A20" s="407"/>
      <c r="B20" s="1609" t="s">
        <v>53</v>
      </c>
      <c r="C20" s="1583"/>
      <c r="D20" s="1583"/>
      <c r="E20" s="1583"/>
      <c r="F20" s="1585"/>
    </row>
    <row r="21" spans="1:6" ht="30" customHeight="1" x14ac:dyDescent="0.3">
      <c r="A21" s="408"/>
      <c r="B21" s="1604" t="s">
        <v>170</v>
      </c>
      <c r="C21" s="1594">
        <v>48000</v>
      </c>
      <c r="D21" s="1594">
        <v>51249</v>
      </c>
      <c r="E21" s="1594">
        <v>51249</v>
      </c>
      <c r="F21" s="1610">
        <f t="shared" ref="F21:F31" si="1">+E21/D21*100</f>
        <v>100</v>
      </c>
    </row>
    <row r="22" spans="1:6" ht="30" customHeight="1" x14ac:dyDescent="0.3">
      <c r="A22" s="407"/>
      <c r="B22" s="1600" t="s">
        <v>503</v>
      </c>
      <c r="C22" s="1601">
        <v>11636</v>
      </c>
      <c r="D22" s="1601">
        <v>6661</v>
      </c>
      <c r="E22" s="1601">
        <v>6109</v>
      </c>
      <c r="F22" s="1603">
        <f t="shared" si="1"/>
        <v>91.712956012610718</v>
      </c>
    </row>
    <row r="23" spans="1:6" ht="30" customHeight="1" x14ac:dyDescent="0.3">
      <c r="A23" s="408"/>
      <c r="B23" s="1604" t="s">
        <v>20</v>
      </c>
      <c r="C23" s="1594">
        <v>9000</v>
      </c>
      <c r="D23" s="1594">
        <v>7365</v>
      </c>
      <c r="E23" s="1594">
        <v>7094</v>
      </c>
      <c r="F23" s="1610">
        <f t="shared" si="1"/>
        <v>96.320434487440593</v>
      </c>
    </row>
    <row r="24" spans="1:6" ht="30" customHeight="1" x14ac:dyDescent="0.3">
      <c r="A24" s="407"/>
      <c r="B24" s="1611" t="s">
        <v>255</v>
      </c>
      <c r="C24" s="1601">
        <v>4000</v>
      </c>
      <c r="D24" s="1602">
        <v>4210</v>
      </c>
      <c r="E24" s="1601">
        <v>3275</v>
      </c>
      <c r="F24" s="1612">
        <f>SUM(F16:F23)</f>
        <v>689.76602339422527</v>
      </c>
    </row>
    <row r="25" spans="1:6" ht="30" customHeight="1" x14ac:dyDescent="0.3">
      <c r="A25" s="408"/>
      <c r="B25" s="1611" t="s">
        <v>423</v>
      </c>
      <c r="C25" s="1579">
        <v>5000</v>
      </c>
      <c r="D25" s="1580">
        <v>5082</v>
      </c>
      <c r="E25" s="1601">
        <v>4995</v>
      </c>
      <c r="F25" s="1613">
        <f t="shared" si="1"/>
        <v>98.288075560802838</v>
      </c>
    </row>
    <row r="26" spans="1:6" s="12" customFormat="1" ht="30" customHeight="1" x14ac:dyDescent="0.3">
      <c r="A26" s="407"/>
      <c r="B26" s="1611" t="s">
        <v>198</v>
      </c>
      <c r="C26" s="1601">
        <v>10000</v>
      </c>
      <c r="D26" s="1602">
        <v>11386</v>
      </c>
      <c r="E26" s="1601">
        <v>11322</v>
      </c>
      <c r="F26" s="1613">
        <f t="shared" si="1"/>
        <v>99.437906200597226</v>
      </c>
    </row>
    <row r="27" spans="1:6" ht="30" customHeight="1" x14ac:dyDescent="0.3">
      <c r="A27" s="408"/>
      <c r="B27" s="1614" t="s">
        <v>485</v>
      </c>
      <c r="C27" s="1593">
        <v>13040</v>
      </c>
      <c r="D27" s="1593">
        <v>13977</v>
      </c>
      <c r="E27" s="1593">
        <v>13977</v>
      </c>
      <c r="F27" s="1610">
        <f t="shared" si="1"/>
        <v>100</v>
      </c>
    </row>
    <row r="28" spans="1:6" s="12" customFormat="1" ht="30" customHeight="1" x14ac:dyDescent="0.3">
      <c r="A28" s="407"/>
      <c r="B28" s="1615" t="s">
        <v>281</v>
      </c>
      <c r="C28" s="1616">
        <v>1000</v>
      </c>
      <c r="D28" s="1617">
        <v>446</v>
      </c>
      <c r="E28" s="1616">
        <v>446</v>
      </c>
      <c r="F28" s="1613">
        <f t="shared" si="1"/>
        <v>100</v>
      </c>
    </row>
    <row r="29" spans="1:6" s="12" customFormat="1" ht="30" customHeight="1" x14ac:dyDescent="0.3">
      <c r="A29" s="407"/>
      <c r="B29" s="1618" t="s">
        <v>1407</v>
      </c>
      <c r="C29" s="1579">
        <v>500</v>
      </c>
      <c r="D29" s="1580">
        <v>500</v>
      </c>
      <c r="E29" s="1601">
        <v>500</v>
      </c>
      <c r="F29" s="1613">
        <f>+E29/D29*100</f>
        <v>100</v>
      </c>
    </row>
    <row r="30" spans="1:6" ht="30" customHeight="1" x14ac:dyDescent="0.3">
      <c r="A30" s="408"/>
      <c r="B30" s="1619" t="s">
        <v>418</v>
      </c>
      <c r="C30" s="1616">
        <v>4335</v>
      </c>
      <c r="D30" s="1617">
        <v>3315</v>
      </c>
      <c r="E30" s="1616">
        <v>3120</v>
      </c>
      <c r="F30" s="1613">
        <f t="shared" si="1"/>
        <v>94.117647058823522</v>
      </c>
    </row>
    <row r="31" spans="1:6" ht="30" customHeight="1" x14ac:dyDescent="0.3">
      <c r="A31" s="407"/>
      <c r="B31" s="1611" t="s">
        <v>417</v>
      </c>
      <c r="C31" s="1601">
        <v>4407</v>
      </c>
      <c r="D31" s="1602">
        <v>4407</v>
      </c>
      <c r="E31" s="1601">
        <v>3972</v>
      </c>
      <c r="F31" s="1613">
        <f t="shared" si="1"/>
        <v>90.129339686861812</v>
      </c>
    </row>
    <row r="32" spans="1:6" s="12" customFormat="1" ht="30" customHeight="1" x14ac:dyDescent="0.3">
      <c r="A32" s="408"/>
      <c r="B32" s="1611" t="s">
        <v>400</v>
      </c>
      <c r="C32" s="1601">
        <v>10000</v>
      </c>
      <c r="D32" s="1602">
        <v>10000</v>
      </c>
      <c r="E32" s="1601">
        <v>9835</v>
      </c>
      <c r="F32" s="1613">
        <f>+E32/D32*100</f>
        <v>98.350000000000009</v>
      </c>
    </row>
    <row r="33" spans="1:6" s="12" customFormat="1" ht="30" customHeight="1" x14ac:dyDescent="0.3">
      <c r="A33" s="408"/>
      <c r="B33" s="1611" t="s">
        <v>414</v>
      </c>
      <c r="C33" s="1601">
        <v>4000</v>
      </c>
      <c r="D33" s="1602">
        <v>10002</v>
      </c>
      <c r="E33" s="1601">
        <v>9006</v>
      </c>
      <c r="F33" s="1613">
        <f>+E33/D33*100</f>
        <v>90.041991601679655</v>
      </c>
    </row>
    <row r="34" spans="1:6" s="12" customFormat="1" ht="30" customHeight="1" x14ac:dyDescent="0.3">
      <c r="A34" s="409"/>
      <c r="B34" s="1618" t="s">
        <v>1408</v>
      </c>
      <c r="C34" s="1601"/>
      <c r="D34" s="1602">
        <v>165174</v>
      </c>
      <c r="E34" s="1601">
        <v>165149</v>
      </c>
      <c r="F34" s="1613">
        <f>+E34/D34*100</f>
        <v>99.984864445978189</v>
      </c>
    </row>
    <row r="35" spans="1:6" s="12" customFormat="1" ht="30" customHeight="1" x14ac:dyDescent="0.3">
      <c r="A35" s="407"/>
      <c r="B35" s="1618" t="s">
        <v>486</v>
      </c>
      <c r="C35" s="1579">
        <v>2200</v>
      </c>
      <c r="D35" s="1580">
        <v>2200</v>
      </c>
      <c r="E35" s="1601">
        <v>2200</v>
      </c>
      <c r="F35" s="1613">
        <f t="shared" ref="F35:F46" si="2">+E35/D35*100</f>
        <v>100</v>
      </c>
    </row>
    <row r="36" spans="1:6" s="12" customFormat="1" ht="30" customHeight="1" x14ac:dyDescent="0.3">
      <c r="A36" s="408"/>
      <c r="B36" s="1618" t="s">
        <v>433</v>
      </c>
      <c r="C36" s="1579">
        <v>285000</v>
      </c>
      <c r="D36" s="1580">
        <v>285000</v>
      </c>
      <c r="E36" s="1602">
        <v>285000</v>
      </c>
      <c r="F36" s="1613">
        <f t="shared" si="2"/>
        <v>100</v>
      </c>
    </row>
    <row r="37" spans="1:6" s="12" customFormat="1" ht="30" customHeight="1" x14ac:dyDescent="0.3">
      <c r="A37" s="407"/>
      <c r="B37" s="1611" t="s">
        <v>1409</v>
      </c>
      <c r="C37" s="1579">
        <v>1600</v>
      </c>
      <c r="D37" s="1580">
        <v>600</v>
      </c>
      <c r="E37" s="1602">
        <v>600</v>
      </c>
      <c r="F37" s="1613">
        <f t="shared" si="2"/>
        <v>100</v>
      </c>
    </row>
    <row r="38" spans="1:6" s="12" customFormat="1" ht="52.5" customHeight="1" x14ac:dyDescent="0.3">
      <c r="A38" s="408"/>
      <c r="B38" s="1620" t="s">
        <v>13</v>
      </c>
      <c r="C38" s="1601">
        <v>2300</v>
      </c>
      <c r="D38" s="1602">
        <v>500</v>
      </c>
      <c r="E38" s="1601">
        <v>500</v>
      </c>
      <c r="F38" s="1613">
        <f t="shared" si="2"/>
        <v>100</v>
      </c>
    </row>
    <row r="39" spans="1:6" s="12" customFormat="1" ht="48.75" customHeight="1" x14ac:dyDescent="0.3">
      <c r="A39" s="407"/>
      <c r="B39" s="1621" t="s">
        <v>98</v>
      </c>
      <c r="C39" s="1601">
        <v>10000</v>
      </c>
      <c r="D39" s="1602">
        <v>10000</v>
      </c>
      <c r="E39" s="1602">
        <v>10000</v>
      </c>
      <c r="F39" s="1613">
        <f t="shared" si="2"/>
        <v>100</v>
      </c>
    </row>
    <row r="40" spans="1:6" s="12" customFormat="1" ht="30" customHeight="1" x14ac:dyDescent="0.3">
      <c r="A40" s="408"/>
      <c r="B40" s="1611" t="s">
        <v>52</v>
      </c>
      <c r="C40" s="1579"/>
      <c r="D40" s="1580">
        <v>5000</v>
      </c>
      <c r="E40" s="1602">
        <v>5000</v>
      </c>
      <c r="F40" s="1613">
        <f t="shared" si="2"/>
        <v>100</v>
      </c>
    </row>
    <row r="41" spans="1:6" s="12" customFormat="1" ht="30" customHeight="1" x14ac:dyDescent="0.3">
      <c r="A41" s="407"/>
      <c r="B41" s="1611" t="s">
        <v>1410</v>
      </c>
      <c r="C41" s="1579">
        <v>20000</v>
      </c>
      <c r="D41" s="1580">
        <v>20000</v>
      </c>
      <c r="E41" s="1602">
        <v>20000</v>
      </c>
      <c r="F41" s="1613">
        <f t="shared" si="2"/>
        <v>100</v>
      </c>
    </row>
    <row r="42" spans="1:6" s="12" customFormat="1" ht="30" customHeight="1" x14ac:dyDescent="0.3">
      <c r="A42" s="408"/>
      <c r="B42" s="1611" t="s">
        <v>30</v>
      </c>
      <c r="C42" s="1622">
        <v>16776</v>
      </c>
      <c r="D42" s="1623">
        <v>16776</v>
      </c>
      <c r="E42" s="1623">
        <v>16776</v>
      </c>
      <c r="F42" s="1585">
        <f t="shared" si="2"/>
        <v>100</v>
      </c>
    </row>
    <row r="43" spans="1:6" s="12" customFormat="1" ht="30" customHeight="1" x14ac:dyDescent="0.3">
      <c r="A43" s="407"/>
      <c r="B43" s="1611" t="s">
        <v>434</v>
      </c>
      <c r="C43" s="1601"/>
      <c r="D43" s="1602">
        <v>2996</v>
      </c>
      <c r="E43" s="1602"/>
      <c r="F43" s="1581">
        <f t="shared" si="2"/>
        <v>0</v>
      </c>
    </row>
    <row r="44" spans="1:6" s="12" customFormat="1" ht="30" customHeight="1" x14ac:dyDescent="0.3">
      <c r="A44" s="408"/>
      <c r="B44" s="1621" t="s">
        <v>216</v>
      </c>
      <c r="C44" s="1601">
        <v>2000</v>
      </c>
      <c r="D44" s="1602">
        <v>2000</v>
      </c>
      <c r="E44" s="1602"/>
      <c r="F44" s="1581">
        <f t="shared" si="2"/>
        <v>0</v>
      </c>
    </row>
    <row r="45" spans="1:6" s="12" customFormat="1" ht="30" customHeight="1" x14ac:dyDescent="0.3">
      <c r="A45" s="407"/>
      <c r="B45" s="1624" t="s">
        <v>1411</v>
      </c>
      <c r="C45" s="1622">
        <v>125000</v>
      </c>
      <c r="D45" s="1623">
        <v>218644</v>
      </c>
      <c r="E45" s="1623">
        <v>134270</v>
      </c>
      <c r="F45" s="1625">
        <f t="shared" si="2"/>
        <v>61.410329119481901</v>
      </c>
    </row>
    <row r="46" spans="1:6" s="12" customFormat="1" ht="51.95" customHeight="1" x14ac:dyDescent="0.3">
      <c r="A46" s="409"/>
      <c r="B46" s="1621" t="s">
        <v>1412</v>
      </c>
      <c r="C46" s="1601"/>
      <c r="D46" s="1602">
        <v>2750</v>
      </c>
      <c r="E46" s="1602">
        <v>2200</v>
      </c>
      <c r="F46" s="1581">
        <f t="shared" si="2"/>
        <v>80</v>
      </c>
    </row>
    <row r="47" spans="1:6" s="12" customFormat="1" ht="30" customHeight="1" x14ac:dyDescent="0.3">
      <c r="A47" s="409"/>
      <c r="B47" s="1626" t="s">
        <v>54</v>
      </c>
      <c r="C47" s="1601"/>
      <c r="D47" s="1602"/>
      <c r="E47" s="1602"/>
      <c r="F47" s="1613"/>
    </row>
    <row r="48" spans="1:6" ht="30" customHeight="1" x14ac:dyDescent="0.3">
      <c r="A48" s="407"/>
      <c r="B48" s="1596" t="s">
        <v>197</v>
      </c>
      <c r="C48" s="1597">
        <v>1905</v>
      </c>
      <c r="D48" s="1597">
        <v>3889</v>
      </c>
      <c r="E48" s="1597">
        <v>1592</v>
      </c>
      <c r="F48" s="1598">
        <f t="shared" ref="F48:F58" si="3">+E48/D48*100</f>
        <v>40.935973257906916</v>
      </c>
    </row>
    <row r="49" spans="1:6" ht="30" customHeight="1" x14ac:dyDescent="0.3">
      <c r="A49" s="407"/>
      <c r="B49" s="1611" t="s">
        <v>374</v>
      </c>
      <c r="C49" s="1601">
        <v>16924</v>
      </c>
      <c r="D49" s="1602">
        <v>18196</v>
      </c>
      <c r="E49" s="1601">
        <v>16664</v>
      </c>
      <c r="F49" s="1613">
        <f t="shared" si="3"/>
        <v>91.580567157617054</v>
      </c>
    </row>
    <row r="50" spans="1:6" s="12" customFormat="1" ht="45" customHeight="1" x14ac:dyDescent="0.3">
      <c r="A50" s="407"/>
      <c r="B50" s="1620" t="s">
        <v>525</v>
      </c>
      <c r="C50" s="1601">
        <v>10000</v>
      </c>
      <c r="D50" s="1602">
        <v>37915</v>
      </c>
      <c r="E50" s="1601">
        <v>37899</v>
      </c>
      <c r="F50" s="1613">
        <f t="shared" si="3"/>
        <v>99.957800342872218</v>
      </c>
    </row>
    <row r="51" spans="1:6" s="12" customFormat="1" ht="30" customHeight="1" x14ac:dyDescent="0.3">
      <c r="A51" s="407"/>
      <c r="B51" s="1611" t="s">
        <v>155</v>
      </c>
      <c r="C51" s="1601">
        <v>69117</v>
      </c>
      <c r="D51" s="1602">
        <v>69117</v>
      </c>
      <c r="E51" s="1602">
        <v>69117</v>
      </c>
      <c r="F51" s="1613">
        <f t="shared" si="3"/>
        <v>100</v>
      </c>
    </row>
    <row r="52" spans="1:6" s="12" customFormat="1" ht="30" customHeight="1" x14ac:dyDescent="0.3">
      <c r="A52" s="407"/>
      <c r="B52" s="1611" t="s">
        <v>156</v>
      </c>
      <c r="C52" s="1601">
        <v>39510</v>
      </c>
      <c r="D52" s="1602">
        <v>39510</v>
      </c>
      <c r="E52" s="1602">
        <v>39510</v>
      </c>
      <c r="F52" s="1613">
        <f t="shared" si="3"/>
        <v>100</v>
      </c>
    </row>
    <row r="53" spans="1:6" s="12" customFormat="1" ht="30" customHeight="1" x14ac:dyDescent="0.3">
      <c r="A53" s="407"/>
      <c r="B53" s="1611" t="s">
        <v>542</v>
      </c>
      <c r="C53" s="1622"/>
      <c r="D53" s="1623">
        <v>20000</v>
      </c>
      <c r="E53" s="1623">
        <v>20000</v>
      </c>
      <c r="F53" s="1613">
        <f t="shared" si="3"/>
        <v>100</v>
      </c>
    </row>
    <row r="54" spans="1:6" s="12" customFormat="1" ht="30" customHeight="1" x14ac:dyDescent="0.3">
      <c r="A54" s="407"/>
      <c r="B54" s="1611" t="s">
        <v>428</v>
      </c>
      <c r="C54" s="1622"/>
      <c r="D54" s="1623">
        <v>7527</v>
      </c>
      <c r="E54" s="1623">
        <v>7527</v>
      </c>
      <c r="F54" s="1613">
        <f t="shared" si="3"/>
        <v>100</v>
      </c>
    </row>
    <row r="55" spans="1:6" s="12" customFormat="1" ht="30" customHeight="1" x14ac:dyDescent="0.3">
      <c r="A55" s="407"/>
      <c r="B55" s="1611" t="s">
        <v>649</v>
      </c>
      <c r="C55" s="1622"/>
      <c r="D55" s="1623">
        <v>200000</v>
      </c>
      <c r="E55" s="1623">
        <v>200000</v>
      </c>
      <c r="F55" s="1613">
        <f t="shared" si="3"/>
        <v>100</v>
      </c>
    </row>
    <row r="56" spans="1:6" s="12" customFormat="1" ht="30" customHeight="1" x14ac:dyDescent="0.3">
      <c r="A56" s="407"/>
      <c r="B56" s="1621" t="s">
        <v>172</v>
      </c>
      <c r="C56" s="1622">
        <v>5000</v>
      </c>
      <c r="D56" s="1623">
        <v>2000</v>
      </c>
      <c r="E56" s="1623">
        <v>251</v>
      </c>
      <c r="F56" s="1613">
        <f t="shared" si="3"/>
        <v>12.55</v>
      </c>
    </row>
    <row r="57" spans="1:6" s="12" customFormat="1" ht="30" customHeight="1" x14ac:dyDescent="0.3">
      <c r="A57" s="407"/>
      <c r="B57" s="1621" t="s">
        <v>596</v>
      </c>
      <c r="C57" s="1622"/>
      <c r="D57" s="1623">
        <v>90000</v>
      </c>
      <c r="E57" s="1623">
        <v>90000</v>
      </c>
      <c r="F57" s="1613">
        <f t="shared" si="3"/>
        <v>100</v>
      </c>
    </row>
    <row r="58" spans="1:6" s="12" customFormat="1" ht="30" customHeight="1" x14ac:dyDescent="0.3">
      <c r="A58" s="407"/>
      <c r="B58" s="1621" t="s">
        <v>597</v>
      </c>
      <c r="C58" s="1601"/>
      <c r="D58" s="1602">
        <v>8959</v>
      </c>
      <c r="E58" s="1602"/>
      <c r="F58" s="1581">
        <f t="shared" si="3"/>
        <v>0</v>
      </c>
    </row>
    <row r="59" spans="1:6" s="12" customFormat="1" ht="30" customHeight="1" x14ac:dyDescent="0.3">
      <c r="A59" s="408"/>
      <c r="B59" s="1626" t="s">
        <v>40</v>
      </c>
      <c r="C59" s="1601"/>
      <c r="D59" s="1602"/>
      <c r="E59" s="1602"/>
      <c r="F59" s="1581"/>
    </row>
    <row r="60" spans="1:6" ht="45.75" customHeight="1" x14ac:dyDescent="0.3">
      <c r="A60" s="407"/>
      <c r="B60" s="1618" t="s">
        <v>256</v>
      </c>
      <c r="C60" s="1579">
        <v>4500</v>
      </c>
      <c r="D60" s="1580">
        <v>6845</v>
      </c>
      <c r="E60" s="1580">
        <v>6845</v>
      </c>
      <c r="F60" s="1627">
        <f t="shared" ref="F60:F69" si="4">+E60/D60*100</f>
        <v>100</v>
      </c>
    </row>
    <row r="61" spans="1:6" s="12" customFormat="1" ht="30" customHeight="1" x14ac:dyDescent="0.3">
      <c r="A61" s="409"/>
      <c r="B61" s="1628" t="s">
        <v>254</v>
      </c>
      <c r="C61" s="1597">
        <v>5000</v>
      </c>
      <c r="D61" s="1599">
        <v>4006</v>
      </c>
      <c r="E61" s="1593"/>
      <c r="F61" s="1629">
        <f t="shared" si="4"/>
        <v>0</v>
      </c>
    </row>
    <row r="62" spans="1:6" s="12" customFormat="1" ht="30" customHeight="1" x14ac:dyDescent="0.3">
      <c r="A62" s="407"/>
      <c r="B62" s="1630" t="s">
        <v>487</v>
      </c>
      <c r="C62" s="1622">
        <v>30000</v>
      </c>
      <c r="D62" s="1623">
        <v>31889</v>
      </c>
      <c r="E62" s="1623">
        <v>29476</v>
      </c>
      <c r="F62" s="1613">
        <f t="shared" si="4"/>
        <v>92.433127410705879</v>
      </c>
    </row>
    <row r="63" spans="1:6" s="12" customFormat="1" ht="30" customHeight="1" x14ac:dyDescent="0.3">
      <c r="A63" s="407"/>
      <c r="B63" s="1631" t="s">
        <v>282</v>
      </c>
      <c r="C63" s="1632"/>
      <c r="D63" s="1633">
        <v>1306</v>
      </c>
      <c r="E63" s="1623"/>
      <c r="F63" s="1613">
        <f t="shared" si="4"/>
        <v>0</v>
      </c>
    </row>
    <row r="64" spans="1:6" s="12" customFormat="1" ht="30" customHeight="1" x14ac:dyDescent="0.3">
      <c r="A64" s="407"/>
      <c r="B64" s="1611" t="s">
        <v>429</v>
      </c>
      <c r="C64" s="1622">
        <v>4000</v>
      </c>
      <c r="D64" s="1623">
        <v>5000</v>
      </c>
      <c r="E64" s="1623">
        <v>4969</v>
      </c>
      <c r="F64" s="1613">
        <f t="shared" si="4"/>
        <v>99.38</v>
      </c>
    </row>
    <row r="65" spans="1:6" s="12" customFormat="1" ht="30" customHeight="1" x14ac:dyDescent="0.3">
      <c r="A65" s="409"/>
      <c r="B65" s="1631" t="s">
        <v>283</v>
      </c>
      <c r="C65" s="1632">
        <v>3000</v>
      </c>
      <c r="D65" s="1633">
        <v>4269</v>
      </c>
      <c r="E65" s="1623">
        <v>1158</v>
      </c>
      <c r="F65" s="1613">
        <f t="shared" si="4"/>
        <v>27.125790583274771</v>
      </c>
    </row>
    <row r="66" spans="1:6" s="12" customFormat="1" ht="30" customHeight="1" x14ac:dyDescent="0.3">
      <c r="A66" s="407"/>
      <c r="B66" s="1631" t="s">
        <v>280</v>
      </c>
      <c r="C66" s="1579">
        <v>3000</v>
      </c>
      <c r="D66" s="1580">
        <v>5331</v>
      </c>
      <c r="E66" s="1602">
        <v>4638</v>
      </c>
      <c r="F66" s="1613">
        <f t="shared" si="4"/>
        <v>87.000562746201453</v>
      </c>
    </row>
    <row r="67" spans="1:6" s="12" customFormat="1" ht="30" customHeight="1" x14ac:dyDescent="0.3">
      <c r="A67" s="409"/>
      <c r="B67" s="1631" t="s">
        <v>430</v>
      </c>
      <c r="C67" s="1579">
        <v>5800</v>
      </c>
      <c r="D67" s="1580">
        <v>3278</v>
      </c>
      <c r="E67" s="1602">
        <v>3278</v>
      </c>
      <c r="F67" s="1613">
        <f t="shared" si="4"/>
        <v>100</v>
      </c>
    </row>
    <row r="68" spans="1:6" s="12" customFormat="1" ht="30" customHeight="1" x14ac:dyDescent="0.3">
      <c r="A68" s="407"/>
      <c r="B68" s="1631" t="s">
        <v>431</v>
      </c>
      <c r="C68" s="1579">
        <v>2000</v>
      </c>
      <c r="D68" s="1580">
        <v>0</v>
      </c>
      <c r="E68" s="1602"/>
      <c r="F68" s="1613"/>
    </row>
    <row r="69" spans="1:6" s="12" customFormat="1" ht="30" customHeight="1" x14ac:dyDescent="0.3">
      <c r="A69" s="409"/>
      <c r="B69" s="1631" t="s">
        <v>175</v>
      </c>
      <c r="C69" s="1579">
        <v>600</v>
      </c>
      <c r="D69" s="1580">
        <v>600</v>
      </c>
      <c r="E69" s="1602">
        <v>600</v>
      </c>
      <c r="F69" s="1613">
        <f t="shared" si="4"/>
        <v>100</v>
      </c>
    </row>
    <row r="70" spans="1:6" s="12" customFormat="1" ht="30" customHeight="1" x14ac:dyDescent="0.3">
      <c r="A70" s="407"/>
      <c r="B70" s="1611" t="s">
        <v>284</v>
      </c>
      <c r="C70" s="1601">
        <v>7000</v>
      </c>
      <c r="D70" s="1602">
        <v>7000</v>
      </c>
      <c r="E70" s="1602">
        <v>5143</v>
      </c>
      <c r="F70" s="1581">
        <f>+E70/D70*100</f>
        <v>73.471428571428575</v>
      </c>
    </row>
    <row r="71" spans="1:6" s="12" customFormat="1" ht="30" customHeight="1" x14ac:dyDescent="0.3">
      <c r="A71" s="409"/>
      <c r="B71" s="1611" t="s">
        <v>176</v>
      </c>
      <c r="C71" s="1579">
        <v>1000</v>
      </c>
      <c r="D71" s="1580">
        <v>1000</v>
      </c>
      <c r="E71" s="1602"/>
      <c r="F71" s="1613">
        <f>+E71/D71*100</f>
        <v>0</v>
      </c>
    </row>
    <row r="72" spans="1:6" s="12" customFormat="1" ht="30" customHeight="1" x14ac:dyDescent="0.3">
      <c r="A72" s="407"/>
      <c r="B72" s="1611" t="s">
        <v>178</v>
      </c>
      <c r="C72" s="1579">
        <v>750</v>
      </c>
      <c r="D72" s="1580">
        <v>750</v>
      </c>
      <c r="E72" s="1602">
        <v>9</v>
      </c>
      <c r="F72" s="1613">
        <f>+E72/D72*100</f>
        <v>1.2</v>
      </c>
    </row>
    <row r="73" spans="1:6" s="12" customFormat="1" ht="30" customHeight="1" x14ac:dyDescent="0.3">
      <c r="A73" s="408"/>
      <c r="B73" s="1634" t="s">
        <v>55</v>
      </c>
      <c r="C73" s="1635"/>
      <c r="D73" s="1636"/>
      <c r="E73" s="1636"/>
      <c r="F73" s="1613"/>
    </row>
    <row r="74" spans="1:6" ht="30" customHeight="1" x14ac:dyDescent="0.3">
      <c r="A74" s="407"/>
      <c r="B74" s="1611" t="s">
        <v>253</v>
      </c>
      <c r="C74" s="1579">
        <v>19028</v>
      </c>
      <c r="D74" s="1580">
        <v>19524</v>
      </c>
      <c r="E74" s="1601">
        <v>9992</v>
      </c>
      <c r="F74" s="1613">
        <f>+E74/D74*100</f>
        <v>51.1780372874411</v>
      </c>
    </row>
    <row r="75" spans="1:6" s="12" customFormat="1" ht="30" customHeight="1" x14ac:dyDescent="0.3">
      <c r="A75" s="407"/>
      <c r="B75" s="1626" t="s">
        <v>56</v>
      </c>
      <c r="C75" s="1635"/>
      <c r="D75" s="1636"/>
      <c r="E75" s="1636"/>
      <c r="F75" s="1585"/>
    </row>
    <row r="76" spans="1:6" ht="30" customHeight="1" x14ac:dyDescent="0.3">
      <c r="A76" s="407"/>
      <c r="B76" s="1596" t="s">
        <v>585</v>
      </c>
      <c r="C76" s="1597">
        <v>17400</v>
      </c>
      <c r="D76" s="1597">
        <v>20988</v>
      </c>
      <c r="E76" s="1597">
        <v>8365</v>
      </c>
      <c r="F76" s="1598">
        <f>+E76/D76*100</f>
        <v>39.856108252334664</v>
      </c>
    </row>
    <row r="77" spans="1:6" s="12" customFormat="1" ht="30" customHeight="1" x14ac:dyDescent="0.3">
      <c r="A77" s="408"/>
      <c r="B77" s="1637"/>
      <c r="C77" s="1635"/>
      <c r="D77" s="1636"/>
      <c r="E77" s="1636"/>
      <c r="F77" s="1585"/>
    </row>
    <row r="78" spans="1:6" ht="30" customHeight="1" thickBot="1" x14ac:dyDescent="0.35">
      <c r="A78" s="407"/>
      <c r="B78" s="1638" t="s">
        <v>419</v>
      </c>
      <c r="C78" s="1639">
        <f>SUM(C21:C77)</f>
        <v>835328</v>
      </c>
      <c r="D78" s="1639">
        <f>SUM(D21:D77)</f>
        <v>1469139</v>
      </c>
      <c r="E78" s="1640">
        <f>SUM(E21:E77)</f>
        <v>1323628</v>
      </c>
      <c r="F78" s="1641">
        <f>+E78/D78*100</f>
        <v>90.095491304771031</v>
      </c>
    </row>
    <row r="79" spans="1:6" ht="30" customHeight="1" x14ac:dyDescent="0.35">
      <c r="A79" s="407"/>
      <c r="B79" s="1642" t="s">
        <v>211</v>
      </c>
      <c r="C79" s="1591"/>
      <c r="D79" s="1643"/>
      <c r="E79" s="1643"/>
      <c r="F79" s="1644"/>
    </row>
    <row r="80" spans="1:6" ht="30" customHeight="1" x14ac:dyDescent="0.3">
      <c r="A80" s="407"/>
      <c r="B80" s="1645" t="s">
        <v>318</v>
      </c>
      <c r="C80" s="1646"/>
      <c r="D80" s="1647">
        <v>3978</v>
      </c>
      <c r="E80" s="1617">
        <v>3978</v>
      </c>
      <c r="F80" s="1581">
        <f>+E80/D80*100</f>
        <v>100</v>
      </c>
    </row>
    <row r="81" spans="1:6" ht="30" customHeight="1" x14ac:dyDescent="0.3">
      <c r="A81" s="407"/>
      <c r="B81" s="1648" t="s">
        <v>346</v>
      </c>
      <c r="C81" s="1579"/>
      <c r="D81" s="1580">
        <v>2744</v>
      </c>
      <c r="E81" s="1601">
        <v>2264</v>
      </c>
      <c r="F81" s="1581">
        <f t="shared" ref="F81:F89" si="5">+E81/D81*100</f>
        <v>82.507288629737602</v>
      </c>
    </row>
    <row r="82" spans="1:6" ht="30" customHeight="1" x14ac:dyDescent="0.3">
      <c r="A82" s="407"/>
      <c r="B82" s="1621" t="s">
        <v>345</v>
      </c>
      <c r="C82" s="1579"/>
      <c r="D82" s="1580">
        <v>13769</v>
      </c>
      <c r="E82" s="1602">
        <v>2041</v>
      </c>
      <c r="F82" s="1581">
        <f t="shared" si="5"/>
        <v>14.823153460672525</v>
      </c>
    </row>
    <row r="83" spans="1:6" ht="30" customHeight="1" x14ac:dyDescent="0.3">
      <c r="A83" s="407"/>
      <c r="B83" s="1621" t="s">
        <v>594</v>
      </c>
      <c r="C83" s="1579"/>
      <c r="D83" s="1580">
        <v>63269</v>
      </c>
      <c r="E83" s="1602">
        <v>4445</v>
      </c>
      <c r="F83" s="1581">
        <f t="shared" si="5"/>
        <v>7.0255575400275019</v>
      </c>
    </row>
    <row r="84" spans="1:6" ht="51.95" customHeight="1" x14ac:dyDescent="0.3">
      <c r="A84" s="407"/>
      <c r="B84" s="1621" t="s">
        <v>613</v>
      </c>
      <c r="C84" s="1579"/>
      <c r="D84" s="1580">
        <v>2720</v>
      </c>
      <c r="E84" s="1602"/>
      <c r="F84" s="1581">
        <f t="shared" si="5"/>
        <v>0</v>
      </c>
    </row>
    <row r="85" spans="1:6" ht="51.95" customHeight="1" x14ac:dyDescent="0.3">
      <c r="A85" s="407"/>
      <c r="B85" s="1621" t="s">
        <v>593</v>
      </c>
      <c r="C85" s="1579"/>
      <c r="D85" s="1580">
        <v>5040</v>
      </c>
      <c r="E85" s="1602">
        <v>165</v>
      </c>
      <c r="F85" s="1581">
        <f t="shared" si="5"/>
        <v>3.2738095238095242</v>
      </c>
    </row>
    <row r="86" spans="1:6" ht="51.95" customHeight="1" x14ac:dyDescent="0.3">
      <c r="A86" s="407"/>
      <c r="B86" s="1649" t="s">
        <v>632</v>
      </c>
      <c r="C86" s="1650"/>
      <c r="D86" s="1651">
        <v>4400</v>
      </c>
      <c r="E86" s="1652"/>
      <c r="F86" s="1581">
        <f t="shared" si="5"/>
        <v>0</v>
      </c>
    </row>
    <row r="87" spans="1:6" ht="34.5" customHeight="1" thickBot="1" x14ac:dyDescent="0.35">
      <c r="A87" s="407"/>
      <c r="B87" s="1653" t="s">
        <v>419</v>
      </c>
      <c r="C87" s="1654">
        <f>SUM(C80:C85)</f>
        <v>0</v>
      </c>
      <c r="D87" s="1654">
        <f>SUM(D80:D86)</f>
        <v>95920</v>
      </c>
      <c r="E87" s="1654">
        <f>SUM(E80:E85)</f>
        <v>12893</v>
      </c>
      <c r="F87" s="1655">
        <f t="shared" si="5"/>
        <v>13.441409507923268</v>
      </c>
    </row>
    <row r="88" spans="1:6" ht="34.5" customHeight="1" thickBot="1" x14ac:dyDescent="0.35">
      <c r="A88" s="407"/>
      <c r="B88" s="1656" t="s">
        <v>1413</v>
      </c>
      <c r="C88" s="1657">
        <f>+C19+C78+C87</f>
        <v>2121698</v>
      </c>
      <c r="D88" s="1658">
        <f>+D19+D78+D87</f>
        <v>2864815</v>
      </c>
      <c r="E88" s="1658">
        <f>+E19+E78+E87</f>
        <v>2658797</v>
      </c>
      <c r="F88" s="1659">
        <f t="shared" si="5"/>
        <v>92.80868049071232</v>
      </c>
    </row>
    <row r="89" spans="1:6" s="10" customFormat="1" ht="43.5" customHeight="1" thickBot="1" x14ac:dyDescent="0.35">
      <c r="A89" s="410"/>
      <c r="B89" s="1660" t="s">
        <v>322</v>
      </c>
      <c r="C89" s="1654">
        <f>+C9+C88</f>
        <v>4148501</v>
      </c>
      <c r="D89" s="1661">
        <f>+D9+D88</f>
        <v>5015276</v>
      </c>
      <c r="E89" s="1661">
        <f>+E9+E88</f>
        <v>4516169</v>
      </c>
      <c r="F89" s="1659">
        <f t="shared" si="5"/>
        <v>90.04826454217077</v>
      </c>
    </row>
    <row r="90" spans="1:6" ht="15" customHeight="1" x14ac:dyDescent="0.3">
      <c r="A90" s="407"/>
      <c r="B90" s="1662"/>
      <c r="C90" s="1662"/>
      <c r="D90" s="1663"/>
      <c r="E90" s="1663"/>
      <c r="F90" s="1662"/>
    </row>
    <row r="91" spans="1:6" ht="36" customHeight="1" thickBot="1" x14ac:dyDescent="0.35">
      <c r="A91" s="407"/>
      <c r="B91" s="1664" t="s">
        <v>39</v>
      </c>
      <c r="C91" s="1665"/>
      <c r="D91" s="1665"/>
      <c r="E91" s="1665"/>
      <c r="F91" s="1665" t="s">
        <v>38</v>
      </c>
    </row>
    <row r="92" spans="1:6" ht="35.1" customHeight="1" x14ac:dyDescent="0.3">
      <c r="A92" s="407"/>
      <c r="B92" s="1666" t="s">
        <v>59</v>
      </c>
      <c r="C92" s="2676" t="s">
        <v>173</v>
      </c>
      <c r="D92" s="2677"/>
      <c r="E92" s="1667" t="s">
        <v>608</v>
      </c>
      <c r="F92" s="1668" t="s">
        <v>206</v>
      </c>
    </row>
    <row r="93" spans="1:6" ht="35.1" customHeight="1" thickBot="1" x14ac:dyDescent="0.35">
      <c r="A93" s="407"/>
      <c r="B93" s="1653"/>
      <c r="C93" s="1571" t="s">
        <v>406</v>
      </c>
      <c r="D93" s="1572" t="s">
        <v>204</v>
      </c>
      <c r="E93" s="1669" t="s">
        <v>205</v>
      </c>
      <c r="F93" s="1670" t="s">
        <v>207</v>
      </c>
    </row>
    <row r="94" spans="1:6" ht="34.5" customHeight="1" x14ac:dyDescent="0.3">
      <c r="A94" s="407"/>
      <c r="B94" s="1671" t="s">
        <v>129</v>
      </c>
      <c r="C94" s="1672">
        <v>7300</v>
      </c>
      <c r="D94" s="1672">
        <v>9300</v>
      </c>
      <c r="E94" s="1672">
        <v>7096</v>
      </c>
      <c r="F94" s="1577">
        <f>+E94/D94*100</f>
        <v>76.301075268817215</v>
      </c>
    </row>
    <row r="95" spans="1:6" ht="35.1" customHeight="1" x14ac:dyDescent="0.3">
      <c r="A95" s="407"/>
      <c r="B95" s="1611" t="s">
        <v>87</v>
      </c>
      <c r="C95" s="1612">
        <v>64800</v>
      </c>
      <c r="D95" s="1612">
        <v>112348</v>
      </c>
      <c r="E95" s="1612">
        <v>75790</v>
      </c>
      <c r="F95" s="1581">
        <f>+E95/D95*100</f>
        <v>67.460034891586844</v>
      </c>
    </row>
    <row r="96" spans="1:6" ht="35.1" customHeight="1" thickBot="1" x14ac:dyDescent="0.35">
      <c r="A96" s="407"/>
      <c r="B96" s="1673" t="s">
        <v>279</v>
      </c>
      <c r="C96" s="1674">
        <v>1000</v>
      </c>
      <c r="D96" s="1674">
        <v>4708</v>
      </c>
      <c r="E96" s="1674">
        <v>4179</v>
      </c>
      <c r="F96" s="1675">
        <f>+E96/D96*100</f>
        <v>88.76380628717078</v>
      </c>
    </row>
    <row r="97" spans="1:6" ht="35.25" customHeight="1" thickBot="1" x14ac:dyDescent="0.35">
      <c r="A97" s="407"/>
      <c r="B97" s="1676" t="s">
        <v>316</v>
      </c>
      <c r="C97" s="1677">
        <f>SUM(C94:C96)</f>
        <v>73100</v>
      </c>
      <c r="D97" s="1677">
        <f>SUM(D94:D96)</f>
        <v>126356</v>
      </c>
      <c r="E97" s="1677">
        <f>SUM(E94:E96)</f>
        <v>87065</v>
      </c>
      <c r="F97" s="1659">
        <f>+E97/D97*100</f>
        <v>68.904523726613704</v>
      </c>
    </row>
    <row r="98" spans="1:6" ht="15" customHeight="1" thickBot="1" x14ac:dyDescent="0.35">
      <c r="A98" s="407"/>
      <c r="B98" s="1678"/>
      <c r="C98" s="1679"/>
      <c r="D98" s="1679"/>
      <c r="E98" s="1680"/>
      <c r="F98" s="1681"/>
    </row>
    <row r="99" spans="1:6" ht="50.25" customHeight="1" thickBot="1" x14ac:dyDescent="0.35">
      <c r="A99" s="407"/>
      <c r="B99" s="1682" t="s">
        <v>321</v>
      </c>
      <c r="C99" s="1683">
        <f>C89+C97</f>
        <v>4221601</v>
      </c>
      <c r="D99" s="1683">
        <f>D89+D97</f>
        <v>5141632</v>
      </c>
      <c r="E99" s="1677">
        <f>E89+E97</f>
        <v>4603234</v>
      </c>
      <c r="F99" s="1659">
        <f>+E99/D99*100</f>
        <v>89.528655493041896</v>
      </c>
    </row>
  </sheetData>
  <mergeCells count="4">
    <mergeCell ref="B1:C1"/>
    <mergeCell ref="C4:D4"/>
    <mergeCell ref="B2:F2"/>
    <mergeCell ref="C92:D92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&amp;R&amp;"Arial,Félkövér"&amp;19
13. melléklet</oddHeader>
  </headerFooter>
  <rowBreaks count="1" manualBreakCount="1">
    <brk id="58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F34"/>
  <sheetViews>
    <sheetView zoomScaleNormal="100" zoomScaleSheetLayoutView="75" workbookViewId="0">
      <selection activeCell="B1" sqref="B1:E1"/>
    </sheetView>
  </sheetViews>
  <sheetFormatPr defaultRowHeight="15" customHeight="1" x14ac:dyDescent="0.2"/>
  <cols>
    <col min="1" max="1" width="11.83203125" style="102" bestFit="1" customWidth="1"/>
    <col min="2" max="2" width="94" style="12" customWidth="1"/>
    <col min="3" max="3" width="21.83203125" style="12" customWidth="1"/>
    <col min="4" max="5" width="21.83203125" style="6" customWidth="1"/>
    <col min="6" max="6" width="21.83203125" style="12" customWidth="1"/>
    <col min="7" max="16384" width="9.33203125" style="12"/>
  </cols>
  <sheetData>
    <row r="1" spans="2:6" ht="15" customHeight="1" x14ac:dyDescent="0.25">
      <c r="B1" s="2660"/>
      <c r="C1" s="2660"/>
    </row>
    <row r="2" spans="2:6" ht="30" customHeight="1" x14ac:dyDescent="0.25">
      <c r="B2" s="2605" t="s">
        <v>47</v>
      </c>
      <c r="C2" s="2605"/>
      <c r="D2" s="2605"/>
      <c r="E2" s="2605"/>
      <c r="F2" s="2605"/>
    </row>
    <row r="3" spans="2:6" ht="14.25" customHeight="1" x14ac:dyDescent="0.25">
      <c r="B3" s="28" t="s">
        <v>110</v>
      </c>
    </row>
    <row r="4" spans="2:6" ht="18.75" customHeight="1" thickBot="1" x14ac:dyDescent="0.25">
      <c r="C4" s="24"/>
      <c r="D4" s="89"/>
      <c r="E4" s="89"/>
      <c r="F4" s="24" t="s">
        <v>38</v>
      </c>
    </row>
    <row r="5" spans="2:6" ht="30" customHeight="1" x14ac:dyDescent="0.25">
      <c r="B5" s="1263" t="s">
        <v>59</v>
      </c>
      <c r="C5" s="2670" t="s">
        <v>173</v>
      </c>
      <c r="D5" s="2669"/>
      <c r="E5" s="1261" t="s">
        <v>608</v>
      </c>
      <c r="F5" s="45" t="s">
        <v>206</v>
      </c>
    </row>
    <row r="6" spans="2:6" ht="30" customHeight="1" thickBot="1" x14ac:dyDescent="0.3">
      <c r="B6" s="230"/>
      <c r="C6" s="62" t="s">
        <v>406</v>
      </c>
      <c r="D6" s="62" t="s">
        <v>204</v>
      </c>
      <c r="E6" s="77" t="s">
        <v>205</v>
      </c>
      <c r="F6" s="46" t="s">
        <v>207</v>
      </c>
    </row>
    <row r="7" spans="2:6" ht="30" customHeight="1" x14ac:dyDescent="0.2">
      <c r="B7" s="111" t="s">
        <v>212</v>
      </c>
      <c r="C7" s="486">
        <v>105000</v>
      </c>
      <c r="D7" s="486">
        <v>81806</v>
      </c>
      <c r="E7" s="81">
        <v>81806</v>
      </c>
      <c r="F7" s="96">
        <f t="shared" ref="F7:F20" si="0">+E7/D7*100</f>
        <v>100</v>
      </c>
    </row>
    <row r="8" spans="2:6" ht="30" customHeight="1" x14ac:dyDescent="0.2">
      <c r="B8" s="60" t="s">
        <v>432</v>
      </c>
      <c r="C8" s="81"/>
      <c r="D8" s="81">
        <v>43194</v>
      </c>
      <c r="E8" s="81">
        <v>43194</v>
      </c>
      <c r="F8" s="96">
        <f t="shared" si="0"/>
        <v>100</v>
      </c>
    </row>
    <row r="9" spans="2:6" ht="30" customHeight="1" x14ac:dyDescent="0.2">
      <c r="B9" s="249" t="s">
        <v>100</v>
      </c>
      <c r="C9" s="232">
        <v>25000</v>
      </c>
      <c r="D9" s="232">
        <v>16558</v>
      </c>
      <c r="E9" s="232">
        <v>16558</v>
      </c>
      <c r="F9" s="318">
        <f t="shared" si="0"/>
        <v>100</v>
      </c>
    </row>
    <row r="10" spans="2:6" ht="30" customHeight="1" x14ac:dyDescent="0.2">
      <c r="B10" s="17" t="s">
        <v>460</v>
      </c>
      <c r="C10" s="85">
        <v>5000</v>
      </c>
      <c r="D10" s="85">
        <v>5000</v>
      </c>
      <c r="E10" s="88">
        <v>5000</v>
      </c>
      <c r="F10" s="314">
        <f t="shared" si="0"/>
        <v>100</v>
      </c>
    </row>
    <row r="11" spans="2:6" ht="30" customHeight="1" x14ac:dyDescent="0.2">
      <c r="B11" s="79" t="s">
        <v>448</v>
      </c>
      <c r="C11" s="85">
        <v>51000</v>
      </c>
      <c r="D11" s="85">
        <v>51680</v>
      </c>
      <c r="E11" s="88">
        <v>48850</v>
      </c>
      <c r="F11" s="96">
        <f t="shared" si="0"/>
        <v>94.523993808049539</v>
      </c>
    </row>
    <row r="12" spans="2:6" ht="30" customHeight="1" x14ac:dyDescent="0.2">
      <c r="B12" s="79" t="s">
        <v>347</v>
      </c>
      <c r="C12" s="85"/>
      <c r="D12" s="85">
        <v>5000</v>
      </c>
      <c r="E12" s="88">
        <v>5000</v>
      </c>
      <c r="F12" s="96">
        <f t="shared" si="0"/>
        <v>100</v>
      </c>
    </row>
    <row r="13" spans="2:6" ht="30" customHeight="1" x14ac:dyDescent="0.2">
      <c r="B13" s="60" t="s">
        <v>106</v>
      </c>
      <c r="C13" s="81">
        <v>600</v>
      </c>
      <c r="D13" s="81">
        <v>1514</v>
      </c>
      <c r="E13" s="81">
        <v>1133</v>
      </c>
      <c r="F13" s="96">
        <f t="shared" si="0"/>
        <v>74.834874504623514</v>
      </c>
    </row>
    <row r="14" spans="2:6" ht="30" customHeight="1" x14ac:dyDescent="0.2">
      <c r="B14" s="60" t="s">
        <v>575</v>
      </c>
      <c r="C14" s="81">
        <v>5000</v>
      </c>
      <c r="D14" s="81">
        <v>5000</v>
      </c>
      <c r="E14" s="81">
        <v>5000</v>
      </c>
      <c r="F14" s="96">
        <f t="shared" si="0"/>
        <v>100</v>
      </c>
    </row>
    <row r="15" spans="2:6" ht="30" customHeight="1" x14ac:dyDescent="0.2">
      <c r="B15" s="60" t="s">
        <v>157</v>
      </c>
      <c r="C15" s="81">
        <v>20000</v>
      </c>
      <c r="D15" s="81">
        <v>27171</v>
      </c>
      <c r="E15" s="81">
        <v>25615</v>
      </c>
      <c r="F15" s="96">
        <f t="shared" si="0"/>
        <v>94.273306098413741</v>
      </c>
    </row>
    <row r="16" spans="2:6" ht="30" customHeight="1" x14ac:dyDescent="0.2">
      <c r="B16" s="60" t="s">
        <v>461</v>
      </c>
      <c r="C16" s="81">
        <v>40000</v>
      </c>
      <c r="D16" s="81">
        <v>50000</v>
      </c>
      <c r="E16" s="81">
        <v>50000</v>
      </c>
      <c r="F16" s="96">
        <f t="shared" si="0"/>
        <v>100</v>
      </c>
    </row>
    <row r="17" spans="2:6" ht="30" customHeight="1" x14ac:dyDescent="0.2">
      <c r="B17" s="60" t="s">
        <v>462</v>
      </c>
      <c r="C17" s="81">
        <v>4000</v>
      </c>
      <c r="D17" s="81">
        <v>4000</v>
      </c>
      <c r="E17" s="81">
        <v>4000</v>
      </c>
      <c r="F17" s="96">
        <f t="shared" si="0"/>
        <v>100</v>
      </c>
    </row>
    <row r="18" spans="2:6" ht="30" customHeight="1" x14ac:dyDescent="0.2">
      <c r="B18" s="60" t="s">
        <v>463</v>
      </c>
      <c r="C18" s="81">
        <v>5000</v>
      </c>
      <c r="D18" s="81">
        <v>5000</v>
      </c>
      <c r="E18" s="81">
        <v>5000</v>
      </c>
      <c r="F18" s="96">
        <f t="shared" si="0"/>
        <v>100</v>
      </c>
    </row>
    <row r="19" spans="2:6" ht="30" customHeight="1" x14ac:dyDescent="0.2">
      <c r="B19" s="60" t="s">
        <v>641</v>
      </c>
      <c r="C19" s="81"/>
      <c r="D19" s="81">
        <v>10000</v>
      </c>
      <c r="E19" s="81">
        <v>10000</v>
      </c>
      <c r="F19" s="96">
        <f t="shared" si="0"/>
        <v>100</v>
      </c>
    </row>
    <row r="20" spans="2:6" ht="30" customHeight="1" x14ac:dyDescent="0.2">
      <c r="B20" s="60" t="s">
        <v>652</v>
      </c>
      <c r="C20" s="81"/>
      <c r="D20" s="81">
        <v>1355</v>
      </c>
      <c r="E20" s="81">
        <v>1355</v>
      </c>
      <c r="F20" s="96">
        <f t="shared" si="0"/>
        <v>100</v>
      </c>
    </row>
    <row r="21" spans="2:6" ht="30" customHeight="1" x14ac:dyDescent="0.2">
      <c r="B21" s="60" t="s">
        <v>101</v>
      </c>
      <c r="C21" s="81">
        <v>3000</v>
      </c>
      <c r="D21" s="81">
        <v>3375</v>
      </c>
      <c r="E21" s="81">
        <v>2900</v>
      </c>
      <c r="F21" s="96">
        <f t="shared" ref="F21:F32" si="1">+E21/D21*100</f>
        <v>85.925925925925924</v>
      </c>
    </row>
    <row r="22" spans="2:6" ht="30" customHeight="1" x14ac:dyDescent="0.2">
      <c r="B22" s="60" t="s">
        <v>102</v>
      </c>
      <c r="C22" s="81">
        <v>12000</v>
      </c>
      <c r="D22" s="81">
        <v>12000</v>
      </c>
      <c r="E22" s="81">
        <v>12000</v>
      </c>
      <c r="F22" s="96">
        <f t="shared" si="1"/>
        <v>100</v>
      </c>
    </row>
    <row r="23" spans="2:6" ht="30" customHeight="1" x14ac:dyDescent="0.2">
      <c r="B23" s="79" t="s">
        <v>107</v>
      </c>
      <c r="C23" s="85">
        <v>55000</v>
      </c>
      <c r="D23" s="85">
        <v>56054</v>
      </c>
      <c r="E23" s="88">
        <v>55000</v>
      </c>
      <c r="F23" s="96">
        <f t="shared" si="1"/>
        <v>98.119670317907733</v>
      </c>
    </row>
    <row r="24" spans="2:6" ht="30" customHeight="1" x14ac:dyDescent="0.2">
      <c r="B24" s="401" t="s">
        <v>1414</v>
      </c>
      <c r="C24" s="85">
        <v>126000</v>
      </c>
      <c r="D24" s="85">
        <v>140936</v>
      </c>
      <c r="E24" s="88">
        <v>140936</v>
      </c>
      <c r="F24" s="96">
        <f t="shared" si="1"/>
        <v>100</v>
      </c>
    </row>
    <row r="25" spans="2:6" ht="30" customHeight="1" x14ac:dyDescent="0.2">
      <c r="B25" s="60" t="s">
        <v>1415</v>
      </c>
      <c r="C25" s="81">
        <v>2500</v>
      </c>
      <c r="D25" s="81">
        <v>2500</v>
      </c>
      <c r="E25" s="81">
        <v>2500</v>
      </c>
      <c r="F25" s="96">
        <f t="shared" si="1"/>
        <v>100</v>
      </c>
    </row>
    <row r="26" spans="2:6" ht="30" customHeight="1" x14ac:dyDescent="0.2">
      <c r="B26" s="79" t="s">
        <v>104</v>
      </c>
      <c r="C26" s="85">
        <v>9000</v>
      </c>
      <c r="D26" s="85">
        <v>9000</v>
      </c>
      <c r="E26" s="88">
        <v>9000</v>
      </c>
      <c r="F26" s="96">
        <f t="shared" si="1"/>
        <v>100</v>
      </c>
    </row>
    <row r="27" spans="2:6" ht="30" customHeight="1" x14ac:dyDescent="0.2">
      <c r="B27" s="79" t="s">
        <v>285</v>
      </c>
      <c r="C27" s="85">
        <v>3000</v>
      </c>
      <c r="D27" s="85">
        <v>3000</v>
      </c>
      <c r="E27" s="88">
        <v>3000</v>
      </c>
      <c r="F27" s="96">
        <f t="shared" si="1"/>
        <v>100</v>
      </c>
    </row>
    <row r="28" spans="2:6" ht="30" customHeight="1" x14ac:dyDescent="0.2">
      <c r="B28" s="79" t="s">
        <v>154</v>
      </c>
      <c r="C28" s="85">
        <v>6000</v>
      </c>
      <c r="D28" s="85">
        <v>3745</v>
      </c>
      <c r="E28" s="88">
        <v>3000</v>
      </c>
      <c r="F28" s="96">
        <f t="shared" si="1"/>
        <v>80.10680907877169</v>
      </c>
    </row>
    <row r="29" spans="2:6" ht="30" customHeight="1" x14ac:dyDescent="0.2">
      <c r="B29" s="485" t="s">
        <v>464</v>
      </c>
      <c r="C29" s="85">
        <v>50000</v>
      </c>
      <c r="D29" s="85">
        <v>0</v>
      </c>
      <c r="E29" s="88"/>
      <c r="F29" s="96"/>
    </row>
    <row r="30" spans="2:6" ht="30" customHeight="1" x14ac:dyDescent="0.2">
      <c r="B30" s="504" t="s">
        <v>543</v>
      </c>
      <c r="C30" s="85"/>
      <c r="D30" s="85">
        <v>8000</v>
      </c>
      <c r="E30" s="88"/>
      <c r="F30" s="96">
        <f t="shared" si="1"/>
        <v>0</v>
      </c>
    </row>
    <row r="31" spans="2:6" ht="30" customHeight="1" thickBot="1" x14ac:dyDescent="0.25">
      <c r="B31" s="485" t="s">
        <v>348</v>
      </c>
      <c r="C31" s="434">
        <v>25000</v>
      </c>
      <c r="D31" s="85">
        <v>20000</v>
      </c>
      <c r="E31" s="88">
        <v>18323</v>
      </c>
      <c r="F31" s="96">
        <f t="shared" si="1"/>
        <v>91.615000000000009</v>
      </c>
    </row>
    <row r="32" spans="2:6" ht="30" customHeight="1" thickBot="1" x14ac:dyDescent="0.3">
      <c r="B32" s="26" t="s">
        <v>1416</v>
      </c>
      <c r="C32" s="27">
        <f>SUM(C7:C31)</f>
        <v>552100</v>
      </c>
      <c r="D32" s="150">
        <f>SUM(D7:D31)</f>
        <v>565888</v>
      </c>
      <c r="E32" s="150">
        <f>SUM(E7:E31)</f>
        <v>549170</v>
      </c>
      <c r="F32" s="151">
        <f t="shared" si="1"/>
        <v>97.045705157204253</v>
      </c>
    </row>
    <row r="33" spans="3:3" ht="20.100000000000001" customHeight="1" x14ac:dyDescent="0.2"/>
    <row r="34" spans="3:3" ht="15" customHeight="1" x14ac:dyDescent="0.2">
      <c r="C34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>
    <oddHeader xml:space="preserve">&amp;C
&amp;R&amp;"Arial CE,Félkövér"&amp;14 14. melléklet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J54"/>
  <sheetViews>
    <sheetView zoomScaleNormal="100" workbookViewId="0">
      <selection activeCell="B1" sqref="B1:G1"/>
    </sheetView>
  </sheetViews>
  <sheetFormatPr defaultRowHeight="15" customHeight="1" x14ac:dyDescent="0.2"/>
  <cols>
    <col min="1" max="1" width="17.33203125" style="12" customWidth="1"/>
    <col min="2" max="2" width="5.33203125" style="12" customWidth="1"/>
    <col min="3" max="3" width="9.33203125" style="12"/>
    <col min="4" max="4" width="15.83203125" style="12" customWidth="1"/>
    <col min="5" max="5" width="25.83203125" style="12" customWidth="1"/>
    <col min="6" max="6" width="53.83203125" style="12" customWidth="1"/>
    <col min="7" max="10" width="20.83203125" style="12" customWidth="1"/>
    <col min="11" max="16384" width="9.33203125" style="12"/>
  </cols>
  <sheetData>
    <row r="1" spans="1:10" ht="15" customHeight="1" x14ac:dyDescent="0.25">
      <c r="B1" s="2660"/>
      <c r="C1" s="2660"/>
      <c r="D1" s="2660"/>
      <c r="E1" s="2660"/>
      <c r="F1" s="2660"/>
      <c r="G1" s="2660"/>
    </row>
    <row r="2" spans="1:10" ht="23.25" customHeight="1" x14ac:dyDescent="0.3">
      <c r="B2" s="2688" t="s">
        <v>168</v>
      </c>
      <c r="C2" s="2688"/>
      <c r="D2" s="2688"/>
      <c r="E2" s="2688"/>
      <c r="F2" s="2688"/>
      <c r="G2" s="2688"/>
      <c r="H2" s="2688"/>
      <c r="I2" s="2688"/>
      <c r="J2" s="2688"/>
    </row>
    <row r="4" spans="1:10" ht="15" customHeight="1" thickBot="1" x14ac:dyDescent="0.25">
      <c r="B4" s="32"/>
      <c r="C4" s="32"/>
      <c r="D4" s="32"/>
      <c r="E4" s="32"/>
      <c r="G4" s="24"/>
      <c r="H4" s="24"/>
      <c r="I4" s="24"/>
      <c r="J4" s="24" t="s">
        <v>38</v>
      </c>
    </row>
    <row r="5" spans="1:10" ht="24" customHeight="1" x14ac:dyDescent="0.25">
      <c r="B5" s="2684" t="s">
        <v>59</v>
      </c>
      <c r="C5" s="2685"/>
      <c r="D5" s="2685"/>
      <c r="E5" s="2685"/>
      <c r="F5" s="2685"/>
      <c r="G5" s="2686" t="s">
        <v>173</v>
      </c>
      <c r="H5" s="2687"/>
      <c r="I5" s="76" t="s">
        <v>608</v>
      </c>
      <c r="J5" s="45" t="s">
        <v>206</v>
      </c>
    </row>
    <row r="6" spans="1:10" ht="24" customHeight="1" thickBot="1" x14ac:dyDescent="0.3">
      <c r="B6" s="50"/>
      <c r="C6" s="51"/>
      <c r="D6" s="51"/>
      <c r="E6" s="51"/>
      <c r="F6" s="51"/>
      <c r="G6" s="62" t="s">
        <v>406</v>
      </c>
      <c r="H6" s="62" t="s">
        <v>204</v>
      </c>
      <c r="I6" s="77" t="s">
        <v>205</v>
      </c>
      <c r="J6" s="46" t="s">
        <v>207</v>
      </c>
    </row>
    <row r="7" spans="1:10" ht="24" customHeight="1" x14ac:dyDescent="0.2">
      <c r="B7" s="67" t="s">
        <v>119</v>
      </c>
      <c r="C7" s="68"/>
      <c r="D7" s="68"/>
      <c r="E7" s="68"/>
      <c r="F7" s="68"/>
      <c r="G7" s="69"/>
      <c r="H7" s="64"/>
      <c r="I7" s="64"/>
      <c r="J7" s="97"/>
    </row>
    <row r="8" spans="1:10" ht="24" customHeight="1" x14ac:dyDescent="0.2">
      <c r="A8" s="345"/>
      <c r="B8" s="34"/>
      <c r="C8" s="33" t="s">
        <v>121</v>
      </c>
      <c r="D8" s="33"/>
      <c r="E8" s="33"/>
      <c r="F8" s="33"/>
      <c r="G8" s="47">
        <v>47000</v>
      </c>
      <c r="H8" s="47">
        <v>72311</v>
      </c>
      <c r="I8" s="82">
        <v>50201</v>
      </c>
      <c r="J8" s="98">
        <f>+I8/H8*100</f>
        <v>69.423739126827172</v>
      </c>
    </row>
    <row r="9" spans="1:10" ht="24" customHeight="1" x14ac:dyDescent="0.2">
      <c r="A9" s="345"/>
      <c r="B9" s="34"/>
      <c r="C9" s="243" t="s">
        <v>120</v>
      </c>
      <c r="D9" s="243"/>
      <c r="E9" s="243"/>
      <c r="F9" s="243"/>
      <c r="G9" s="244">
        <v>275000</v>
      </c>
      <c r="H9" s="244">
        <v>289895</v>
      </c>
      <c r="I9" s="245">
        <v>263928</v>
      </c>
      <c r="J9" s="246">
        <f>+I9/H9*100</f>
        <v>91.042618879249375</v>
      </c>
    </row>
    <row r="10" spans="1:10" ht="24" customHeight="1" thickBot="1" x14ac:dyDescent="0.3">
      <c r="A10" s="345"/>
      <c r="B10" s="2692" t="s">
        <v>122</v>
      </c>
      <c r="C10" s="2693"/>
      <c r="D10" s="2693"/>
      <c r="E10" s="35" t="s">
        <v>110</v>
      </c>
      <c r="F10" s="35"/>
      <c r="G10" s="63">
        <f>SUM(G7:G9)</f>
        <v>322000</v>
      </c>
      <c r="H10" s="63">
        <f>SUM(H7:H9)</f>
        <v>362206</v>
      </c>
      <c r="I10" s="63">
        <f>SUM(I7:I9)</f>
        <v>314129</v>
      </c>
      <c r="J10" s="95">
        <f>+I10/H10*100</f>
        <v>86.726614136706743</v>
      </c>
    </row>
    <row r="11" spans="1:10" ht="24" customHeight="1" x14ac:dyDescent="0.2">
      <c r="A11" s="345"/>
      <c r="B11" s="17" t="s">
        <v>199</v>
      </c>
      <c r="C11" s="29"/>
      <c r="D11" s="29"/>
      <c r="E11" s="29"/>
      <c r="F11" s="29"/>
      <c r="G11" s="47"/>
      <c r="H11" s="82"/>
      <c r="I11" s="82"/>
      <c r="J11" s="94"/>
    </row>
    <row r="12" spans="1:10" ht="24" customHeight="1" x14ac:dyDescent="0.2">
      <c r="A12" s="345"/>
      <c r="B12" s="58"/>
      <c r="C12" s="57" t="s">
        <v>123</v>
      </c>
      <c r="D12" s="57"/>
      <c r="E12" s="57"/>
      <c r="F12" s="59"/>
      <c r="G12" s="70"/>
      <c r="H12" s="70">
        <v>7456</v>
      </c>
      <c r="I12" s="81">
        <v>1247</v>
      </c>
      <c r="J12" s="96">
        <f t="shared" ref="J12:J22" si="0">+I12/H12*100</f>
        <v>16.724785407725321</v>
      </c>
    </row>
    <row r="13" spans="1:10" ht="24" customHeight="1" x14ac:dyDescent="0.2">
      <c r="A13" s="345"/>
      <c r="B13" s="481" t="s">
        <v>447</v>
      </c>
      <c r="C13" s="482"/>
      <c r="D13" s="482"/>
      <c r="E13" s="482"/>
      <c r="F13" s="483"/>
      <c r="G13" s="247">
        <v>290000</v>
      </c>
      <c r="H13" s="247">
        <v>344034</v>
      </c>
      <c r="I13" s="248">
        <v>304451</v>
      </c>
      <c r="J13" s="246">
        <f t="shared" si="0"/>
        <v>88.494451129830182</v>
      </c>
    </row>
    <row r="14" spans="1:10" ht="24" customHeight="1" x14ac:dyDescent="0.2">
      <c r="A14" s="345"/>
      <c r="B14" s="481" t="s">
        <v>112</v>
      </c>
      <c r="C14" s="482"/>
      <c r="D14" s="482"/>
      <c r="E14" s="482"/>
      <c r="F14" s="483"/>
      <c r="G14" s="247">
        <v>3000</v>
      </c>
      <c r="H14" s="247">
        <v>10570</v>
      </c>
      <c r="I14" s="248">
        <v>2063</v>
      </c>
      <c r="J14" s="246">
        <f t="shared" si="0"/>
        <v>19.517502365184484</v>
      </c>
    </row>
    <row r="15" spans="1:10" ht="24" customHeight="1" x14ac:dyDescent="0.2">
      <c r="A15" s="345"/>
      <c r="B15" s="481" t="s">
        <v>465</v>
      </c>
      <c r="C15" s="482"/>
      <c r="D15" s="482"/>
      <c r="E15" s="482"/>
      <c r="F15" s="483"/>
      <c r="G15" s="247">
        <v>5000</v>
      </c>
      <c r="H15" s="247">
        <v>5000</v>
      </c>
      <c r="I15" s="248"/>
      <c r="J15" s="246"/>
    </row>
    <row r="16" spans="1:10" ht="24" customHeight="1" x14ac:dyDescent="0.2">
      <c r="A16" s="345"/>
      <c r="B16" s="481" t="s">
        <v>286</v>
      </c>
      <c r="C16" s="482"/>
      <c r="D16" s="482"/>
      <c r="E16" s="482"/>
      <c r="F16" s="483"/>
      <c r="G16" s="247">
        <v>14000</v>
      </c>
      <c r="H16" s="247">
        <v>16739</v>
      </c>
      <c r="I16" s="248">
        <v>11929</v>
      </c>
      <c r="J16" s="246">
        <f t="shared" si="0"/>
        <v>71.26471115359341</v>
      </c>
    </row>
    <row r="17" spans="1:10" ht="24" customHeight="1" x14ac:dyDescent="0.2">
      <c r="A17" s="345"/>
      <c r="B17" s="481" t="s">
        <v>203</v>
      </c>
      <c r="C17" s="482"/>
      <c r="D17" s="482"/>
      <c r="E17" s="482"/>
      <c r="F17" s="483"/>
      <c r="G17" s="247">
        <v>299160</v>
      </c>
      <c r="H17" s="247">
        <v>333351</v>
      </c>
      <c r="I17" s="248">
        <v>296362</v>
      </c>
      <c r="J17" s="246">
        <f t="shared" si="0"/>
        <v>88.90388809393103</v>
      </c>
    </row>
    <row r="18" spans="1:10" ht="24" customHeight="1" x14ac:dyDescent="0.2">
      <c r="A18" s="345"/>
      <c r="B18" s="481" t="s">
        <v>426</v>
      </c>
      <c r="C18" s="482"/>
      <c r="D18" s="482"/>
      <c r="E18" s="482"/>
      <c r="F18" s="483"/>
      <c r="G18" s="247">
        <v>4580</v>
      </c>
      <c r="H18" s="247">
        <v>6113</v>
      </c>
      <c r="I18" s="248">
        <v>1164</v>
      </c>
      <c r="J18" s="246">
        <f t="shared" si="0"/>
        <v>19.041387207590383</v>
      </c>
    </row>
    <row r="19" spans="1:10" ht="24" customHeight="1" x14ac:dyDescent="0.2">
      <c r="A19" s="345"/>
      <c r="B19" s="481" t="s">
        <v>200</v>
      </c>
      <c r="C19" s="482"/>
      <c r="D19" s="482"/>
      <c r="E19" s="482"/>
      <c r="F19" s="483"/>
      <c r="G19" s="247">
        <v>62522</v>
      </c>
      <c r="H19" s="247">
        <v>67399</v>
      </c>
      <c r="I19" s="248">
        <v>58522</v>
      </c>
      <c r="J19" s="246">
        <f t="shared" si="0"/>
        <v>86.829181441861152</v>
      </c>
    </row>
    <row r="20" spans="1:10" ht="24" customHeight="1" x14ac:dyDescent="0.2">
      <c r="A20" s="345"/>
      <c r="B20" s="481" t="s">
        <v>201</v>
      </c>
      <c r="C20" s="482"/>
      <c r="D20" s="482"/>
      <c r="E20" s="482"/>
      <c r="F20" s="483"/>
      <c r="G20" s="247">
        <v>1824</v>
      </c>
      <c r="H20" s="247">
        <v>1824</v>
      </c>
      <c r="I20" s="248">
        <v>1824</v>
      </c>
      <c r="J20" s="246">
        <f t="shared" si="0"/>
        <v>100</v>
      </c>
    </row>
    <row r="21" spans="1:10" ht="24" customHeight="1" x14ac:dyDescent="0.2">
      <c r="A21" s="345"/>
      <c r="B21" s="481" t="s">
        <v>274</v>
      </c>
      <c r="C21" s="482"/>
      <c r="D21" s="482"/>
      <c r="E21" s="482"/>
      <c r="F21" s="483"/>
      <c r="G21" s="247">
        <v>1310</v>
      </c>
      <c r="H21" s="247">
        <v>1310</v>
      </c>
      <c r="I21" s="248">
        <v>872</v>
      </c>
      <c r="J21" s="246">
        <f t="shared" si="0"/>
        <v>66.564885496183194</v>
      </c>
    </row>
    <row r="22" spans="1:10" ht="24" customHeight="1" x14ac:dyDescent="0.2">
      <c r="A22" s="345"/>
      <c r="B22" s="481" t="s">
        <v>202</v>
      </c>
      <c r="C22" s="482"/>
      <c r="D22" s="482"/>
      <c r="E22" s="482"/>
      <c r="F22" s="483"/>
      <c r="G22" s="247">
        <v>2700</v>
      </c>
      <c r="H22" s="247">
        <v>6812</v>
      </c>
      <c r="I22" s="248">
        <v>2252</v>
      </c>
      <c r="J22" s="246">
        <f t="shared" si="0"/>
        <v>33.05930710510863</v>
      </c>
    </row>
    <row r="23" spans="1:10" ht="24" customHeight="1" x14ac:dyDescent="0.2">
      <c r="A23" s="345"/>
      <c r="B23" s="481" t="s">
        <v>586</v>
      </c>
      <c r="C23" s="482"/>
      <c r="D23" s="482"/>
      <c r="E23" s="482"/>
      <c r="F23" s="483"/>
      <c r="G23" s="247">
        <v>1700</v>
      </c>
      <c r="H23" s="247">
        <v>2343</v>
      </c>
      <c r="I23" s="248">
        <v>1894</v>
      </c>
      <c r="J23" s="246">
        <f t="shared" ref="J23:J31" si="1">+I23/H23*100</f>
        <v>80.836534357661122</v>
      </c>
    </row>
    <row r="24" spans="1:10" ht="24" customHeight="1" x14ac:dyDescent="0.2">
      <c r="A24" s="345"/>
      <c r="B24" s="61" t="s">
        <v>401</v>
      </c>
      <c r="C24" s="365"/>
      <c r="D24" s="365"/>
      <c r="E24" s="365"/>
      <c r="F24" s="365"/>
      <c r="G24" s="366">
        <v>3000</v>
      </c>
      <c r="H24" s="366">
        <v>3947</v>
      </c>
      <c r="I24" s="366">
        <v>464</v>
      </c>
      <c r="J24" s="367">
        <f t="shared" si="1"/>
        <v>11.755763871294654</v>
      </c>
    </row>
    <row r="25" spans="1:10" ht="24" customHeight="1" thickBot="1" x14ac:dyDescent="0.3">
      <c r="B25" s="2681" t="s">
        <v>666</v>
      </c>
      <c r="C25" s="2682"/>
      <c r="D25" s="2682"/>
      <c r="E25" s="2682"/>
      <c r="F25" s="2683"/>
      <c r="G25" s="54">
        <f>SUM(G11:G24)</f>
        <v>688796</v>
      </c>
      <c r="H25" s="54">
        <f>SUM(H11:H24)</f>
        <v>806898</v>
      </c>
      <c r="I25" s="54">
        <f>SUM(I11:I24)</f>
        <v>683044</v>
      </c>
      <c r="J25" s="179">
        <f t="shared" si="1"/>
        <v>84.650600199777415</v>
      </c>
    </row>
    <row r="26" spans="1:10" ht="24" customHeight="1" thickBot="1" x14ac:dyDescent="0.3">
      <c r="B26" s="36" t="s">
        <v>1417</v>
      </c>
      <c r="C26" s="37"/>
      <c r="D26" s="37"/>
      <c r="E26" s="38"/>
      <c r="F26" s="38"/>
      <c r="G26" s="54">
        <f>G25+G10</f>
        <v>1010796</v>
      </c>
      <c r="H26" s="54">
        <f>H25+H10</f>
        <v>1169104</v>
      </c>
      <c r="I26" s="54">
        <f>I25+I10</f>
        <v>997173</v>
      </c>
      <c r="J26" s="95">
        <f t="shared" si="1"/>
        <v>85.293780536205503</v>
      </c>
    </row>
    <row r="27" spans="1:10" ht="24" customHeight="1" x14ac:dyDescent="0.25">
      <c r="A27" s="345"/>
      <c r="B27" s="446" t="s">
        <v>215</v>
      </c>
      <c r="C27" s="447"/>
      <c r="D27" s="447"/>
      <c r="E27" s="447"/>
      <c r="F27" s="447"/>
      <c r="G27" s="448">
        <v>3000</v>
      </c>
      <c r="H27" s="448">
        <v>3819</v>
      </c>
      <c r="I27" s="448">
        <v>800</v>
      </c>
      <c r="J27" s="449">
        <f t="shared" si="1"/>
        <v>20.94789211835559</v>
      </c>
    </row>
    <row r="28" spans="1:10" ht="24" customHeight="1" x14ac:dyDescent="0.25">
      <c r="A28" s="345"/>
      <c r="B28" s="17" t="s">
        <v>466</v>
      </c>
      <c r="C28" s="511"/>
      <c r="D28" s="511"/>
      <c r="E28" s="511"/>
      <c r="F28" s="511"/>
      <c r="G28" s="70">
        <v>2000</v>
      </c>
      <c r="H28" s="70">
        <v>2000</v>
      </c>
      <c r="I28" s="70"/>
      <c r="J28" s="488"/>
    </row>
    <row r="29" spans="1:10" ht="24" customHeight="1" x14ac:dyDescent="0.25">
      <c r="A29" s="345"/>
      <c r="B29" s="2689" t="s">
        <v>349</v>
      </c>
      <c r="C29" s="2690"/>
      <c r="D29" s="2690"/>
      <c r="E29" s="2690"/>
      <c r="F29" s="2691"/>
      <c r="G29" s="70"/>
      <c r="H29" s="70">
        <v>30000</v>
      </c>
      <c r="I29" s="70"/>
      <c r="J29" s="488"/>
    </row>
    <row r="30" spans="1:10" ht="24" customHeight="1" x14ac:dyDescent="0.25">
      <c r="A30" s="345"/>
      <c r="B30" s="17" t="s">
        <v>287</v>
      </c>
      <c r="C30" s="29"/>
      <c r="D30" s="29"/>
      <c r="E30" s="29"/>
      <c r="F30" s="29"/>
      <c r="G30" s="450"/>
      <c r="H30" s="450">
        <v>2000</v>
      </c>
      <c r="I30" s="450">
        <v>83</v>
      </c>
      <c r="J30" s="487">
        <f t="shared" si="1"/>
        <v>4.1500000000000004</v>
      </c>
    </row>
    <row r="31" spans="1:10" ht="24" customHeight="1" thickBot="1" x14ac:dyDescent="0.3">
      <c r="B31" s="2678" t="s">
        <v>217</v>
      </c>
      <c r="C31" s="2679"/>
      <c r="D31" s="2679"/>
      <c r="E31" s="2679"/>
      <c r="F31" s="2680"/>
      <c r="G31" s="147">
        <f>G26+G27+G30+G28</f>
        <v>1015796</v>
      </c>
      <c r="H31" s="147">
        <f>H26+H27+H30+H28+H29</f>
        <v>1206923</v>
      </c>
      <c r="I31" s="147">
        <f>I26+I27+I30+I28</f>
        <v>998056</v>
      </c>
      <c r="J31" s="179">
        <f t="shared" si="1"/>
        <v>82.694256385867206</v>
      </c>
    </row>
    <row r="35" spans="9:9" ht="15" customHeight="1" x14ac:dyDescent="0.2">
      <c r="I35" s="6"/>
    </row>
    <row r="37" spans="9:9" ht="15" customHeight="1" x14ac:dyDescent="0.2">
      <c r="I37" s="6"/>
    </row>
    <row r="53" spans="7:7" ht="15" customHeight="1" x14ac:dyDescent="0.2">
      <c r="G53" s="155"/>
    </row>
    <row r="54" spans="7:7" ht="15" customHeight="1" x14ac:dyDescent="0.2">
      <c r="G54" s="155"/>
    </row>
  </sheetData>
  <mergeCells count="8">
    <mergeCell ref="B31:F31"/>
    <mergeCell ref="B25:F25"/>
    <mergeCell ref="B1:G1"/>
    <mergeCell ref="B5:F5"/>
    <mergeCell ref="G5:H5"/>
    <mergeCell ref="B2:J2"/>
    <mergeCell ref="B29:F29"/>
    <mergeCell ref="B10:D10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horizontalDpi="300" verticalDpi="300" r:id="rId1"/>
  <headerFooter alignWithMargins="0">
    <oddHeader>&amp;L
&amp;R&amp;"Arial,Félkövér"&amp;14 15.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F150"/>
  <sheetViews>
    <sheetView zoomScaleNormal="100" workbookViewId="0">
      <selection activeCell="B1" sqref="B1:E1"/>
    </sheetView>
  </sheetViews>
  <sheetFormatPr defaultColWidth="12" defaultRowHeight="15" customHeight="1" x14ac:dyDescent="0.2"/>
  <cols>
    <col min="1" max="1" width="12" style="100" bestFit="1" customWidth="1"/>
    <col min="2" max="2" width="92.1640625" style="8" customWidth="1"/>
    <col min="3" max="3" width="22.1640625" style="8" customWidth="1"/>
    <col min="4" max="5" width="22.1640625" style="5" customWidth="1"/>
    <col min="6" max="6" width="22.1640625" style="8" customWidth="1"/>
    <col min="7" max="16384" width="12" style="8"/>
  </cols>
  <sheetData>
    <row r="1" spans="2:6" ht="15" customHeight="1" x14ac:dyDescent="0.25">
      <c r="B1" s="2660"/>
      <c r="C1" s="2660"/>
      <c r="F1" s="2501"/>
    </row>
    <row r="2" spans="2:6" ht="24" customHeight="1" x14ac:dyDescent="0.3">
      <c r="B2" s="2694" t="s">
        <v>407</v>
      </c>
      <c r="C2" s="2694"/>
      <c r="D2" s="2694"/>
      <c r="E2" s="2694"/>
      <c r="F2" s="2694"/>
    </row>
    <row r="3" spans="2:6" ht="12" customHeight="1" x14ac:dyDescent="0.25">
      <c r="B3" s="39"/>
      <c r="C3" s="39"/>
    </row>
    <row r="4" spans="2:6" ht="15" customHeight="1" thickBot="1" x14ac:dyDescent="0.3">
      <c r="B4" s="14"/>
      <c r="C4" s="15"/>
      <c r="D4" s="31"/>
      <c r="E4" s="31"/>
      <c r="F4" s="15" t="s">
        <v>38</v>
      </c>
    </row>
    <row r="5" spans="2:6" ht="24" customHeight="1" x14ac:dyDescent="0.25">
      <c r="B5" s="41" t="s">
        <v>59</v>
      </c>
      <c r="C5" s="2686" t="s">
        <v>173</v>
      </c>
      <c r="D5" s="2687"/>
      <c r="E5" s="76" t="s">
        <v>608</v>
      </c>
      <c r="F5" s="45" t="s">
        <v>206</v>
      </c>
    </row>
    <row r="6" spans="2:6" ht="24" customHeight="1" thickBot="1" x14ac:dyDescent="0.3">
      <c r="B6" s="53"/>
      <c r="C6" s="62" t="s">
        <v>406</v>
      </c>
      <c r="D6" s="90" t="s">
        <v>204</v>
      </c>
      <c r="E6" s="77" t="s">
        <v>205</v>
      </c>
      <c r="F6" s="46" t="s">
        <v>207</v>
      </c>
    </row>
    <row r="7" spans="2:6" ht="24" customHeight="1" x14ac:dyDescent="0.2">
      <c r="B7" s="251" t="s">
        <v>126</v>
      </c>
      <c r="C7" s="250">
        <v>36000</v>
      </c>
      <c r="D7" s="250">
        <v>36889</v>
      </c>
      <c r="E7" s="232">
        <v>34164</v>
      </c>
      <c r="F7" s="242">
        <f>+E7/D7*100</f>
        <v>92.612974057307056</v>
      </c>
    </row>
    <row r="8" spans="2:6" ht="24" customHeight="1" x14ac:dyDescent="0.2">
      <c r="B8" s="252" t="s">
        <v>408</v>
      </c>
      <c r="C8" s="250">
        <v>5000</v>
      </c>
      <c r="D8" s="250">
        <v>5000</v>
      </c>
      <c r="E8" s="232">
        <v>5000</v>
      </c>
      <c r="F8" s="242">
        <f>+E8/D8*100</f>
        <v>100</v>
      </c>
    </row>
    <row r="9" spans="2:6" ht="24" customHeight="1" x14ac:dyDescent="0.2">
      <c r="B9" s="252" t="s">
        <v>409</v>
      </c>
      <c r="C9" s="250">
        <v>6000</v>
      </c>
      <c r="D9" s="250">
        <v>7721</v>
      </c>
      <c r="E9" s="232">
        <v>5059</v>
      </c>
      <c r="F9" s="242">
        <f>+E9/D9*100</f>
        <v>65.522600699391276</v>
      </c>
    </row>
    <row r="10" spans="2:6" ht="24" customHeight="1" x14ac:dyDescent="0.2">
      <c r="B10" s="252" t="s">
        <v>83</v>
      </c>
      <c r="C10" s="250">
        <v>3000</v>
      </c>
      <c r="D10" s="250">
        <v>6000</v>
      </c>
      <c r="E10" s="232">
        <v>5999</v>
      </c>
      <c r="F10" s="242">
        <f t="shared" ref="F10:F16" si="0">+E10/D10*100</f>
        <v>99.983333333333334</v>
      </c>
    </row>
    <row r="11" spans="2:6" ht="24" customHeight="1" x14ac:dyDescent="0.2">
      <c r="B11" s="252" t="s">
        <v>82</v>
      </c>
      <c r="C11" s="250">
        <v>60000</v>
      </c>
      <c r="D11" s="250">
        <v>67557</v>
      </c>
      <c r="E11" s="232">
        <v>67557</v>
      </c>
      <c r="F11" s="242">
        <f t="shared" si="0"/>
        <v>100</v>
      </c>
    </row>
    <row r="12" spans="2:6" ht="24" customHeight="1" x14ac:dyDescent="0.2">
      <c r="B12" s="252" t="s">
        <v>413</v>
      </c>
      <c r="C12" s="250">
        <v>10000</v>
      </c>
      <c r="D12" s="250">
        <v>13731</v>
      </c>
      <c r="E12" s="232">
        <v>12977</v>
      </c>
      <c r="F12" s="242">
        <f t="shared" si="0"/>
        <v>94.508775762872332</v>
      </c>
    </row>
    <row r="13" spans="2:6" ht="24" customHeight="1" x14ac:dyDescent="0.2">
      <c r="B13" s="252" t="s">
        <v>410</v>
      </c>
      <c r="C13" s="250">
        <v>4000</v>
      </c>
      <c r="D13" s="250">
        <v>5779</v>
      </c>
      <c r="E13" s="232">
        <v>5779</v>
      </c>
      <c r="F13" s="242">
        <f t="shared" si="0"/>
        <v>100</v>
      </c>
    </row>
    <row r="14" spans="2:6" ht="24" customHeight="1" x14ac:dyDescent="0.2">
      <c r="B14" s="253" t="s">
        <v>567</v>
      </c>
      <c r="C14" s="250">
        <v>2000</v>
      </c>
      <c r="D14" s="250">
        <v>4455</v>
      </c>
      <c r="E14" s="232">
        <v>2803</v>
      </c>
      <c r="F14" s="242">
        <f t="shared" si="0"/>
        <v>62.918069584736244</v>
      </c>
    </row>
    <row r="15" spans="2:6" ht="24" customHeight="1" x14ac:dyDescent="0.2">
      <c r="B15" s="252" t="s">
        <v>14</v>
      </c>
      <c r="C15" s="250">
        <v>100</v>
      </c>
      <c r="D15" s="250">
        <v>1124</v>
      </c>
      <c r="E15" s="232">
        <v>1124</v>
      </c>
      <c r="F15" s="242">
        <f t="shared" si="0"/>
        <v>100</v>
      </c>
    </row>
    <row r="16" spans="2:6" ht="24" customHeight="1" x14ac:dyDescent="0.2">
      <c r="B16" s="338" t="s">
        <v>350</v>
      </c>
      <c r="C16" s="250"/>
      <c r="D16" s="250">
        <v>1268</v>
      </c>
      <c r="E16" s="232">
        <v>0</v>
      </c>
      <c r="F16" s="242">
        <f t="shared" si="0"/>
        <v>0</v>
      </c>
    </row>
    <row r="17" spans="1:6" ht="24" customHeight="1" x14ac:dyDescent="0.2">
      <c r="B17" s="252" t="s">
        <v>214</v>
      </c>
      <c r="C17" s="250">
        <v>500</v>
      </c>
      <c r="D17" s="250">
        <v>2989</v>
      </c>
      <c r="E17" s="232">
        <v>274</v>
      </c>
      <c r="F17" s="242">
        <f t="shared" ref="F17:F24" si="1">+E17/D17*100</f>
        <v>9.166945466711276</v>
      </c>
    </row>
    <row r="18" spans="1:6" ht="24" customHeight="1" x14ac:dyDescent="0.2">
      <c r="B18" s="505" t="s">
        <v>544</v>
      </c>
      <c r="C18" s="250"/>
      <c r="D18" s="250">
        <v>1200</v>
      </c>
      <c r="E18" s="232">
        <v>1200</v>
      </c>
      <c r="F18" s="242">
        <f t="shared" si="1"/>
        <v>100</v>
      </c>
    </row>
    <row r="19" spans="1:6" ht="24" customHeight="1" x14ac:dyDescent="0.2">
      <c r="B19" s="252" t="s">
        <v>411</v>
      </c>
      <c r="C19" s="250">
        <v>300</v>
      </c>
      <c r="D19" s="250">
        <v>731</v>
      </c>
      <c r="E19" s="232">
        <v>0</v>
      </c>
      <c r="F19" s="242">
        <f t="shared" si="1"/>
        <v>0</v>
      </c>
    </row>
    <row r="20" spans="1:6" ht="24" customHeight="1" x14ac:dyDescent="0.2">
      <c r="B20" s="252" t="s">
        <v>85</v>
      </c>
      <c r="C20" s="250">
        <v>5000</v>
      </c>
      <c r="D20" s="250">
        <v>10330</v>
      </c>
      <c r="E20" s="232">
        <v>1999</v>
      </c>
      <c r="F20" s="242">
        <f t="shared" si="1"/>
        <v>19.351403678606001</v>
      </c>
    </row>
    <row r="21" spans="1:6" s="12" customFormat="1" ht="24" customHeight="1" x14ac:dyDescent="0.2">
      <c r="A21" s="102"/>
      <c r="B21" s="252" t="s">
        <v>105</v>
      </c>
      <c r="C21" s="250">
        <v>2000</v>
      </c>
      <c r="D21" s="250">
        <v>5290</v>
      </c>
      <c r="E21" s="232">
        <v>0</v>
      </c>
      <c r="F21" s="242">
        <f t="shared" si="1"/>
        <v>0</v>
      </c>
    </row>
    <row r="22" spans="1:6" ht="24" customHeight="1" x14ac:dyDescent="0.2">
      <c r="B22" s="252" t="s">
        <v>412</v>
      </c>
      <c r="C22" s="250">
        <v>30000</v>
      </c>
      <c r="D22" s="250">
        <v>40851</v>
      </c>
      <c r="E22" s="232">
        <v>40851</v>
      </c>
      <c r="F22" s="242">
        <f t="shared" si="1"/>
        <v>100</v>
      </c>
    </row>
    <row r="23" spans="1:6" ht="24" customHeight="1" x14ac:dyDescent="0.2">
      <c r="B23" s="252" t="s">
        <v>125</v>
      </c>
      <c r="C23" s="250">
        <v>15500</v>
      </c>
      <c r="D23" s="250">
        <v>24630</v>
      </c>
      <c r="E23" s="232">
        <v>13711</v>
      </c>
      <c r="F23" s="242">
        <f t="shared" si="1"/>
        <v>55.667884693463257</v>
      </c>
    </row>
    <row r="24" spans="1:6" ht="24" customHeight="1" x14ac:dyDescent="0.2">
      <c r="B24" s="252" t="s">
        <v>213</v>
      </c>
      <c r="C24" s="250">
        <v>18000</v>
      </c>
      <c r="D24" s="250">
        <v>18000</v>
      </c>
      <c r="E24" s="232">
        <v>15556</v>
      </c>
      <c r="F24" s="242">
        <f t="shared" si="1"/>
        <v>86.422222222222217</v>
      </c>
    </row>
    <row r="25" spans="1:6" ht="41.25" customHeight="1" x14ac:dyDescent="0.2">
      <c r="B25" s="253" t="s">
        <v>262</v>
      </c>
      <c r="C25" s="250">
        <v>2000</v>
      </c>
      <c r="D25" s="250">
        <v>2100</v>
      </c>
      <c r="E25" s="232">
        <v>1745</v>
      </c>
      <c r="F25" s="242">
        <f t="shared" ref="F25:F31" si="2">+E25/D25*100</f>
        <v>83.095238095238102</v>
      </c>
    </row>
    <row r="26" spans="1:6" ht="24" customHeight="1" x14ac:dyDescent="0.2">
      <c r="B26" s="252" t="s">
        <v>84</v>
      </c>
      <c r="C26" s="250">
        <v>6000</v>
      </c>
      <c r="D26" s="250">
        <v>12417</v>
      </c>
      <c r="E26" s="232">
        <v>10470</v>
      </c>
      <c r="F26" s="242">
        <f t="shared" si="2"/>
        <v>84.319884029958928</v>
      </c>
    </row>
    <row r="27" spans="1:6" ht="41.25" customHeight="1" x14ac:dyDescent="0.2">
      <c r="B27" s="253" t="s">
        <v>49</v>
      </c>
      <c r="C27" s="250">
        <v>7000</v>
      </c>
      <c r="D27" s="250">
        <v>8379</v>
      </c>
      <c r="E27" s="232">
        <v>5163</v>
      </c>
      <c r="F27" s="242">
        <f t="shared" si="2"/>
        <v>61.618331543143576</v>
      </c>
    </row>
    <row r="28" spans="1:6" ht="24" customHeight="1" x14ac:dyDescent="0.2">
      <c r="B28" s="254" t="s">
        <v>568</v>
      </c>
      <c r="C28" s="247">
        <v>10000</v>
      </c>
      <c r="D28" s="247">
        <v>19753</v>
      </c>
      <c r="E28" s="232">
        <v>14241</v>
      </c>
      <c r="F28" s="242">
        <f t="shared" si="2"/>
        <v>72.095377917278398</v>
      </c>
    </row>
    <row r="29" spans="1:6" ht="24" customHeight="1" x14ac:dyDescent="0.2">
      <c r="B29" s="252" t="s">
        <v>1418</v>
      </c>
      <c r="C29" s="250">
        <v>5000</v>
      </c>
      <c r="D29" s="250">
        <v>9648</v>
      </c>
      <c r="E29" s="232">
        <v>1580</v>
      </c>
      <c r="F29" s="242">
        <f t="shared" si="2"/>
        <v>16.376451077943617</v>
      </c>
    </row>
    <row r="30" spans="1:6" ht="24" customHeight="1" x14ac:dyDescent="0.2">
      <c r="B30" s="253" t="s">
        <v>439</v>
      </c>
      <c r="C30" s="250"/>
      <c r="D30" s="250">
        <v>6722</v>
      </c>
      <c r="E30" s="232">
        <v>6722</v>
      </c>
      <c r="F30" s="242">
        <f t="shared" si="2"/>
        <v>100</v>
      </c>
    </row>
    <row r="31" spans="1:6" ht="24" customHeight="1" thickBot="1" x14ac:dyDescent="0.25">
      <c r="B31" s="360" t="s">
        <v>288</v>
      </c>
      <c r="C31" s="403">
        <v>2000</v>
      </c>
      <c r="D31" s="403">
        <v>743</v>
      </c>
      <c r="E31" s="313">
        <v>670</v>
      </c>
      <c r="F31" s="359">
        <f t="shared" si="2"/>
        <v>90.174966352624494</v>
      </c>
    </row>
    <row r="32" spans="1:6" ht="24" customHeight="1" thickBot="1" x14ac:dyDescent="0.3">
      <c r="B32" s="40" t="s">
        <v>124</v>
      </c>
      <c r="C32" s="71">
        <f>SUM(C7:C31)</f>
        <v>229400</v>
      </c>
      <c r="D32" s="71">
        <f>SUM(D7:D31)</f>
        <v>313307</v>
      </c>
      <c r="E32" s="71">
        <f>SUM(E7:E31)</f>
        <v>254644</v>
      </c>
      <c r="F32" s="75">
        <f>E32/D32*100</f>
        <v>81.276192360847347</v>
      </c>
    </row>
    <row r="33" spans="3:3" ht="15" customHeight="1" x14ac:dyDescent="0.2">
      <c r="C33" s="11"/>
    </row>
    <row r="34" spans="3:3" ht="15" hidden="1" customHeight="1" x14ac:dyDescent="0.2"/>
    <row r="36" spans="3:3" ht="15" customHeight="1" x14ac:dyDescent="0.2">
      <c r="C36" s="5"/>
    </row>
    <row r="37" spans="3:3" ht="15" customHeight="1" x14ac:dyDescent="0.2">
      <c r="C37" s="5"/>
    </row>
    <row r="38" spans="3:3" ht="15" customHeight="1" x14ac:dyDescent="0.2">
      <c r="C38" s="5"/>
    </row>
    <row r="39" spans="3:3" ht="15" customHeight="1" x14ac:dyDescent="0.2">
      <c r="C39" s="5"/>
    </row>
    <row r="40" spans="3:3" ht="15" customHeight="1" x14ac:dyDescent="0.2">
      <c r="C40" s="5"/>
    </row>
    <row r="41" spans="3:3" ht="15" customHeight="1" x14ac:dyDescent="0.2">
      <c r="C41" s="5"/>
    </row>
    <row r="42" spans="3:3" ht="15" customHeight="1" x14ac:dyDescent="0.2">
      <c r="C42" s="5"/>
    </row>
    <row r="43" spans="3:3" ht="15" customHeight="1" x14ac:dyDescent="0.2">
      <c r="C43" s="5"/>
    </row>
    <row r="44" spans="3:3" ht="15" customHeight="1" x14ac:dyDescent="0.2">
      <c r="C44" s="5"/>
    </row>
    <row r="45" spans="3:3" ht="15" customHeight="1" x14ac:dyDescent="0.2">
      <c r="C45" s="5"/>
    </row>
    <row r="46" spans="3:3" ht="15" customHeight="1" x14ac:dyDescent="0.2">
      <c r="C46" s="5"/>
    </row>
    <row r="47" spans="3:3" ht="15" customHeight="1" x14ac:dyDescent="0.2">
      <c r="C47" s="5"/>
    </row>
    <row r="48" spans="3:3" ht="15" customHeight="1" x14ac:dyDescent="0.2">
      <c r="C48" s="5"/>
    </row>
    <row r="49" spans="3:3" ht="15" customHeight="1" x14ac:dyDescent="0.2">
      <c r="C49" s="5"/>
    </row>
    <row r="50" spans="3:3" ht="15" customHeight="1" x14ac:dyDescent="0.2">
      <c r="C50" s="5"/>
    </row>
    <row r="51" spans="3:3" ht="15" customHeight="1" x14ac:dyDescent="0.2">
      <c r="C51" s="5"/>
    </row>
    <row r="52" spans="3:3" ht="15" customHeight="1" x14ac:dyDescent="0.2">
      <c r="C52" s="5"/>
    </row>
    <row r="53" spans="3:3" ht="15" customHeight="1" x14ac:dyDescent="0.2">
      <c r="C53" s="5"/>
    </row>
    <row r="54" spans="3:3" ht="15" customHeight="1" x14ac:dyDescent="0.2">
      <c r="C54" s="5"/>
    </row>
    <row r="55" spans="3:3" ht="15" customHeight="1" x14ac:dyDescent="0.2">
      <c r="C55" s="5"/>
    </row>
    <row r="56" spans="3:3" ht="15" customHeight="1" x14ac:dyDescent="0.2">
      <c r="C56" s="5"/>
    </row>
    <row r="57" spans="3:3" ht="15" customHeight="1" x14ac:dyDescent="0.2">
      <c r="C57" s="5"/>
    </row>
    <row r="58" spans="3:3" ht="15" customHeight="1" x14ac:dyDescent="0.2">
      <c r="C58" s="5"/>
    </row>
    <row r="59" spans="3:3" ht="15" customHeight="1" x14ac:dyDescent="0.2">
      <c r="C59" s="5"/>
    </row>
    <row r="60" spans="3:3" ht="15" customHeight="1" x14ac:dyDescent="0.2">
      <c r="C60" s="5"/>
    </row>
    <row r="61" spans="3:3" ht="15" customHeight="1" x14ac:dyDescent="0.2">
      <c r="C61" s="5"/>
    </row>
    <row r="62" spans="3:3" ht="15" customHeight="1" x14ac:dyDescent="0.2">
      <c r="C62" s="5"/>
    </row>
    <row r="63" spans="3:3" ht="15" customHeight="1" x14ac:dyDescent="0.2">
      <c r="C63" s="5"/>
    </row>
    <row r="64" spans="3:3" ht="15" customHeight="1" x14ac:dyDescent="0.2">
      <c r="C64" s="5"/>
    </row>
    <row r="65" spans="3:3" ht="15" customHeight="1" x14ac:dyDescent="0.2">
      <c r="C65" s="5"/>
    </row>
    <row r="66" spans="3:3" ht="15" customHeight="1" x14ac:dyDescent="0.2">
      <c r="C66" s="5"/>
    </row>
    <row r="67" spans="3:3" ht="15" customHeight="1" x14ac:dyDescent="0.2">
      <c r="C67" s="5"/>
    </row>
    <row r="68" spans="3:3" ht="15" customHeight="1" x14ac:dyDescent="0.2">
      <c r="C68" s="5"/>
    </row>
    <row r="69" spans="3:3" ht="15" customHeight="1" x14ac:dyDescent="0.2">
      <c r="C69" s="5"/>
    </row>
    <row r="70" spans="3:3" ht="15" customHeight="1" x14ac:dyDescent="0.2">
      <c r="C70" s="5"/>
    </row>
    <row r="71" spans="3:3" ht="15" customHeight="1" x14ac:dyDescent="0.2">
      <c r="C71" s="5"/>
    </row>
    <row r="72" spans="3:3" ht="15" customHeight="1" x14ac:dyDescent="0.2">
      <c r="C72" s="5"/>
    </row>
    <row r="73" spans="3:3" ht="15" customHeight="1" x14ac:dyDescent="0.2">
      <c r="C73" s="5"/>
    </row>
    <row r="74" spans="3:3" ht="15" customHeight="1" x14ac:dyDescent="0.2">
      <c r="C74" s="5"/>
    </row>
    <row r="75" spans="3:3" ht="15" customHeight="1" x14ac:dyDescent="0.2">
      <c r="C75" s="5"/>
    </row>
    <row r="76" spans="3:3" ht="15" customHeight="1" x14ac:dyDescent="0.2">
      <c r="C76" s="5"/>
    </row>
    <row r="77" spans="3:3" ht="15" customHeight="1" x14ac:dyDescent="0.2">
      <c r="C77" s="5"/>
    </row>
    <row r="78" spans="3:3" ht="15" customHeight="1" x14ac:dyDescent="0.2">
      <c r="C78" s="5"/>
    </row>
    <row r="79" spans="3:3" ht="15" customHeight="1" x14ac:dyDescent="0.2">
      <c r="C79" s="5"/>
    </row>
    <row r="80" spans="3:3" ht="15" customHeight="1" x14ac:dyDescent="0.2">
      <c r="C80" s="5"/>
    </row>
    <row r="81" spans="3:3" ht="15" customHeight="1" x14ac:dyDescent="0.2">
      <c r="C81" s="5"/>
    </row>
    <row r="82" spans="3:3" ht="15" customHeight="1" x14ac:dyDescent="0.2">
      <c r="C82" s="5"/>
    </row>
    <row r="83" spans="3:3" ht="15" customHeight="1" x14ac:dyDescent="0.2">
      <c r="C83" s="5"/>
    </row>
    <row r="84" spans="3:3" ht="15" customHeight="1" x14ac:dyDescent="0.2">
      <c r="C84" s="5"/>
    </row>
    <row r="85" spans="3:3" ht="15" customHeight="1" x14ac:dyDescent="0.2">
      <c r="C85" s="5"/>
    </row>
    <row r="86" spans="3:3" ht="15" customHeight="1" x14ac:dyDescent="0.2">
      <c r="C86" s="5"/>
    </row>
    <row r="87" spans="3:3" ht="15" customHeight="1" x14ac:dyDescent="0.2">
      <c r="C87" s="5"/>
    </row>
    <row r="88" spans="3:3" ht="15" customHeight="1" x14ac:dyDescent="0.2">
      <c r="C88" s="5"/>
    </row>
    <row r="89" spans="3:3" ht="15" customHeight="1" x14ac:dyDescent="0.2">
      <c r="C89" s="5"/>
    </row>
    <row r="90" spans="3:3" ht="15" customHeight="1" x14ac:dyDescent="0.2">
      <c r="C90" s="5"/>
    </row>
    <row r="91" spans="3:3" ht="15" customHeight="1" x14ac:dyDescent="0.2">
      <c r="C91" s="5"/>
    </row>
    <row r="92" spans="3:3" ht="15" customHeight="1" x14ac:dyDescent="0.2">
      <c r="C92" s="5"/>
    </row>
    <row r="93" spans="3:3" ht="15" customHeight="1" x14ac:dyDescent="0.2">
      <c r="C93" s="5"/>
    </row>
    <row r="94" spans="3:3" ht="15" customHeight="1" x14ac:dyDescent="0.2">
      <c r="C94" s="5"/>
    </row>
    <row r="95" spans="3:3" ht="15" customHeight="1" x14ac:dyDescent="0.2">
      <c r="C95" s="5"/>
    </row>
    <row r="96" spans="3:3" ht="15" customHeight="1" x14ac:dyDescent="0.2">
      <c r="C96" s="5"/>
    </row>
    <row r="97" spans="3:3" ht="15" customHeight="1" x14ac:dyDescent="0.2">
      <c r="C97" s="5"/>
    </row>
    <row r="98" spans="3:3" ht="15" customHeight="1" x14ac:dyDescent="0.2">
      <c r="C98" s="5"/>
    </row>
    <row r="99" spans="3:3" ht="15" customHeight="1" x14ac:dyDescent="0.2">
      <c r="C99" s="5"/>
    </row>
    <row r="100" spans="3:3" ht="15" customHeight="1" x14ac:dyDescent="0.2">
      <c r="C100" s="5"/>
    </row>
    <row r="101" spans="3:3" ht="15" customHeight="1" x14ac:dyDescent="0.2">
      <c r="C101" s="5"/>
    </row>
    <row r="102" spans="3:3" ht="15" customHeight="1" x14ac:dyDescent="0.2">
      <c r="C102" s="5"/>
    </row>
    <row r="103" spans="3:3" ht="15" customHeight="1" x14ac:dyDescent="0.2">
      <c r="C103" s="5"/>
    </row>
    <row r="104" spans="3:3" ht="15" customHeight="1" x14ac:dyDescent="0.2">
      <c r="C104" s="5"/>
    </row>
    <row r="105" spans="3:3" ht="15" customHeight="1" x14ac:dyDescent="0.2">
      <c r="C105" s="5"/>
    </row>
    <row r="106" spans="3:3" ht="15" customHeight="1" x14ac:dyDescent="0.2">
      <c r="C106" s="5"/>
    </row>
    <row r="107" spans="3:3" ht="15" customHeight="1" x14ac:dyDescent="0.2">
      <c r="C107" s="5"/>
    </row>
    <row r="108" spans="3:3" ht="15" customHeight="1" x14ac:dyDescent="0.2">
      <c r="C108" s="5"/>
    </row>
    <row r="109" spans="3:3" ht="15" customHeight="1" x14ac:dyDescent="0.2">
      <c r="C109" s="5"/>
    </row>
    <row r="110" spans="3:3" ht="15" customHeight="1" x14ac:dyDescent="0.2">
      <c r="C110" s="5"/>
    </row>
    <row r="111" spans="3:3" ht="15" customHeight="1" x14ac:dyDescent="0.2">
      <c r="C111" s="5"/>
    </row>
    <row r="112" spans="3:3" ht="15" customHeight="1" x14ac:dyDescent="0.2">
      <c r="C112" s="5"/>
    </row>
    <row r="113" spans="3:3" ht="15" customHeight="1" x14ac:dyDescent="0.2">
      <c r="C113" s="5"/>
    </row>
    <row r="114" spans="3:3" ht="15" customHeight="1" x14ac:dyDescent="0.2">
      <c r="C114" s="5"/>
    </row>
    <row r="115" spans="3:3" ht="15" customHeight="1" x14ac:dyDescent="0.2">
      <c r="C115" s="5"/>
    </row>
    <row r="116" spans="3:3" ht="15" customHeight="1" x14ac:dyDescent="0.2">
      <c r="C116" s="5"/>
    </row>
    <row r="117" spans="3:3" ht="15" customHeight="1" x14ac:dyDescent="0.2">
      <c r="C117" s="5"/>
    </row>
    <row r="118" spans="3:3" ht="15" customHeight="1" x14ac:dyDescent="0.2">
      <c r="C118" s="5"/>
    </row>
    <row r="119" spans="3:3" ht="15" customHeight="1" x14ac:dyDescent="0.2">
      <c r="C119" s="5"/>
    </row>
    <row r="120" spans="3:3" ht="15" customHeight="1" x14ac:dyDescent="0.2">
      <c r="C120" s="5"/>
    </row>
    <row r="121" spans="3:3" ht="15" customHeight="1" x14ac:dyDescent="0.2">
      <c r="C121" s="5"/>
    </row>
    <row r="122" spans="3:3" ht="15" customHeight="1" x14ac:dyDescent="0.2">
      <c r="C122" s="5"/>
    </row>
    <row r="123" spans="3:3" ht="15" customHeight="1" x14ac:dyDescent="0.2">
      <c r="C123" s="5"/>
    </row>
    <row r="124" spans="3:3" ht="15" customHeight="1" x14ac:dyDescent="0.2">
      <c r="C124" s="5"/>
    </row>
    <row r="125" spans="3:3" ht="15" customHeight="1" x14ac:dyDescent="0.2">
      <c r="C125" s="5"/>
    </row>
    <row r="126" spans="3:3" ht="15" customHeight="1" x14ac:dyDescent="0.2">
      <c r="C126" s="5"/>
    </row>
    <row r="127" spans="3:3" ht="15" customHeight="1" x14ac:dyDescent="0.2">
      <c r="C127" s="5"/>
    </row>
    <row r="128" spans="3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  <row r="149" spans="3:3" ht="15" customHeight="1" x14ac:dyDescent="0.2">
      <c r="C149" s="5"/>
    </row>
    <row r="150" spans="3:3" ht="15" customHeight="1" x14ac:dyDescent="0.2">
      <c r="C150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7" orientation="portrait" horizontalDpi="300" verticalDpi="300" r:id="rId1"/>
  <headerFooter alignWithMargins="0">
    <oddHeader>&amp;R&amp;"Cambria,Félkövér"&amp;16 &amp;14 16. melléklet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zoomScaleNormal="100" workbookViewId="0">
      <selection activeCell="B1" sqref="B1:G1"/>
    </sheetView>
  </sheetViews>
  <sheetFormatPr defaultColWidth="10.6640625" defaultRowHeight="15" x14ac:dyDescent="0.2"/>
  <cols>
    <col min="1" max="1" width="13.33203125" style="43" customWidth="1"/>
    <col min="2" max="2" width="6" style="43" customWidth="1"/>
    <col min="3" max="3" width="126.83203125" style="43" customWidth="1"/>
    <col min="4" max="7" width="22.83203125" style="43" customWidth="1"/>
    <col min="8" max="16384" width="10.6640625" style="43"/>
  </cols>
  <sheetData>
    <row r="1" spans="1:7" ht="22.5" customHeight="1" x14ac:dyDescent="0.3">
      <c r="B1" s="2695" t="s">
        <v>572</v>
      </c>
      <c r="C1" s="2695"/>
      <c r="D1" s="2695"/>
      <c r="E1" s="2696"/>
      <c r="F1" s="2696"/>
      <c r="G1" s="2696"/>
    </row>
    <row r="2" spans="1:7" ht="16.5" thickBot="1" x14ac:dyDescent="0.3">
      <c r="C2" s="189"/>
      <c r="D2" s="190"/>
      <c r="G2" s="190" t="s">
        <v>38</v>
      </c>
    </row>
    <row r="3" spans="1:7" ht="22.5" customHeight="1" x14ac:dyDescent="0.25">
      <c r="B3" s="191"/>
      <c r="C3" s="192" t="s">
        <v>59</v>
      </c>
      <c r="D3" s="2699" t="s">
        <v>173</v>
      </c>
      <c r="E3" s="2700"/>
      <c r="F3" s="76" t="s">
        <v>608</v>
      </c>
      <c r="G3" s="231" t="s">
        <v>206</v>
      </c>
    </row>
    <row r="4" spans="1:7" ht="22.5" customHeight="1" thickBot="1" x14ac:dyDescent="0.3">
      <c r="B4" s="193"/>
      <c r="C4" s="194"/>
      <c r="D4" s="255" t="s">
        <v>406</v>
      </c>
      <c r="E4" s="255" t="s">
        <v>204</v>
      </c>
      <c r="F4" s="256" t="s">
        <v>205</v>
      </c>
      <c r="G4" s="114" t="s">
        <v>207</v>
      </c>
    </row>
    <row r="5" spans="1:7" ht="21.75" customHeight="1" x14ac:dyDescent="0.25">
      <c r="B5" s="195" t="s">
        <v>1273</v>
      </c>
      <c r="C5" s="196"/>
      <c r="D5" s="197"/>
      <c r="E5" s="197"/>
      <c r="F5" s="197"/>
      <c r="G5" s="197"/>
    </row>
    <row r="6" spans="1:7" s="327" customFormat="1" ht="21.95" customHeight="1" x14ac:dyDescent="0.2">
      <c r="B6" s="328"/>
      <c r="C6" s="351" t="s">
        <v>229</v>
      </c>
      <c r="D6" s="331">
        <f>SUM(D7:D12)</f>
        <v>0</v>
      </c>
      <c r="E6" s="331">
        <f>SUM(E7:E12)</f>
        <v>3208629</v>
      </c>
      <c r="F6" s="331">
        <f>SUM(F7:F12)</f>
        <v>3208629</v>
      </c>
      <c r="G6" s="332">
        <f t="shared" ref="G6:G33" si="0">+F6/E6*100</f>
        <v>100</v>
      </c>
    </row>
    <row r="7" spans="1:7" s="74" customFormat="1" ht="21.95" customHeight="1" x14ac:dyDescent="0.2">
      <c r="B7" s="138"/>
      <c r="C7" s="516" t="s">
        <v>1419</v>
      </c>
      <c r="D7" s="202"/>
      <c r="E7" s="202">
        <v>2500000</v>
      </c>
      <c r="F7" s="202">
        <v>2500000</v>
      </c>
      <c r="G7" s="416">
        <f t="shared" si="0"/>
        <v>100</v>
      </c>
    </row>
    <row r="8" spans="1:7" s="74" customFormat="1" ht="21.95" customHeight="1" x14ac:dyDescent="0.2">
      <c r="B8" s="138"/>
      <c r="C8" s="349" t="s">
        <v>636</v>
      </c>
      <c r="D8" s="202"/>
      <c r="E8" s="202">
        <v>500000</v>
      </c>
      <c r="F8" s="202">
        <v>500000</v>
      </c>
      <c r="G8" s="416">
        <f t="shared" si="0"/>
        <v>100</v>
      </c>
    </row>
    <row r="9" spans="1:7" s="74" customFormat="1" ht="21.95" customHeight="1" x14ac:dyDescent="0.2">
      <c r="B9" s="138"/>
      <c r="C9" s="516" t="s">
        <v>635</v>
      </c>
      <c r="D9" s="202"/>
      <c r="E9" s="202">
        <v>188976</v>
      </c>
      <c r="F9" s="202">
        <v>188976</v>
      </c>
      <c r="G9" s="416">
        <f t="shared" si="0"/>
        <v>100</v>
      </c>
    </row>
    <row r="10" spans="1:7" s="74" customFormat="1" ht="21.95" customHeight="1" x14ac:dyDescent="0.2">
      <c r="B10" s="138"/>
      <c r="C10" s="516" t="s">
        <v>590</v>
      </c>
      <c r="D10" s="202"/>
      <c r="E10" s="202">
        <v>153</v>
      </c>
      <c r="F10" s="202">
        <v>153</v>
      </c>
      <c r="G10" s="416">
        <f t="shared" si="0"/>
        <v>100</v>
      </c>
    </row>
    <row r="11" spans="1:7" s="74" customFormat="1" ht="36" customHeight="1" x14ac:dyDescent="0.2">
      <c r="B11" s="138"/>
      <c r="C11" s="512" t="s">
        <v>351</v>
      </c>
      <c r="D11" s="202"/>
      <c r="E11" s="202">
        <v>4000</v>
      </c>
      <c r="F11" s="202">
        <v>4000</v>
      </c>
      <c r="G11" s="416">
        <f t="shared" si="0"/>
        <v>100</v>
      </c>
    </row>
    <row r="12" spans="1:7" s="74" customFormat="1" ht="21.95" customHeight="1" x14ac:dyDescent="0.2">
      <c r="B12" s="138"/>
      <c r="C12" s="432" t="s">
        <v>441</v>
      </c>
      <c r="D12" s="202"/>
      <c r="E12" s="202">
        <v>15500</v>
      </c>
      <c r="F12" s="202">
        <v>15500</v>
      </c>
      <c r="G12" s="416">
        <f t="shared" si="0"/>
        <v>100</v>
      </c>
    </row>
    <row r="13" spans="1:7" s="329" customFormat="1" ht="21.95" customHeight="1" x14ac:dyDescent="0.2">
      <c r="B13" s="330"/>
      <c r="C13" s="351" t="s">
        <v>230</v>
      </c>
      <c r="D13" s="331">
        <f>SUM(D14:D33)</f>
        <v>0</v>
      </c>
      <c r="E13" s="331">
        <f>SUM(E14:E33)</f>
        <v>10667535</v>
      </c>
      <c r="F13" s="331">
        <f>SUM(F14:F33)</f>
        <v>6327864</v>
      </c>
      <c r="G13" s="332">
        <f t="shared" si="0"/>
        <v>59.318896071116711</v>
      </c>
    </row>
    <row r="14" spans="1:7" s="329" customFormat="1" ht="21.75" customHeight="1" x14ac:dyDescent="0.2">
      <c r="A14" s="43"/>
      <c r="B14" s="330"/>
      <c r="C14" s="517" t="s">
        <v>545</v>
      </c>
      <c r="D14" s="331"/>
      <c r="E14" s="202">
        <v>3500</v>
      </c>
      <c r="F14" s="331"/>
      <c r="G14" s="321">
        <f t="shared" si="0"/>
        <v>0</v>
      </c>
    </row>
    <row r="15" spans="1:7" ht="21.75" customHeight="1" x14ac:dyDescent="0.2">
      <c r="B15" s="113"/>
      <c r="C15" s="148" t="s">
        <v>623</v>
      </c>
      <c r="D15" s="204"/>
      <c r="E15" s="204">
        <v>800000</v>
      </c>
      <c r="F15" s="204">
        <v>384500</v>
      </c>
      <c r="G15" s="321">
        <f t="shared" si="0"/>
        <v>48.0625</v>
      </c>
    </row>
    <row r="16" spans="1:7" ht="21.75" customHeight="1" x14ac:dyDescent="0.2">
      <c r="B16" s="113"/>
      <c r="C16" s="509" t="s">
        <v>599</v>
      </c>
      <c r="D16" s="204"/>
      <c r="E16" s="204">
        <v>146054</v>
      </c>
      <c r="F16" s="204">
        <f>138812+1</f>
        <v>138813</v>
      </c>
      <c r="G16" s="321">
        <f t="shared" si="0"/>
        <v>95.042244649239322</v>
      </c>
    </row>
    <row r="17" spans="2:7" ht="21.75" customHeight="1" x14ac:dyDescent="0.2">
      <c r="B17" s="113"/>
      <c r="C17" s="148" t="s">
        <v>620</v>
      </c>
      <c r="D17" s="204"/>
      <c r="E17" s="204">
        <v>163199</v>
      </c>
      <c r="F17" s="204">
        <v>156328</v>
      </c>
      <c r="G17" s="321">
        <f t="shared" si="0"/>
        <v>95.789802633594562</v>
      </c>
    </row>
    <row r="18" spans="2:7" ht="21.75" customHeight="1" x14ac:dyDescent="0.2">
      <c r="B18" s="113"/>
      <c r="C18" s="518" t="s">
        <v>621</v>
      </c>
      <c r="D18" s="204"/>
      <c r="E18" s="204">
        <v>254747</v>
      </c>
      <c r="F18" s="204">
        <v>242452</v>
      </c>
      <c r="G18" s="321">
        <f t="shared" si="0"/>
        <v>95.173642869199639</v>
      </c>
    </row>
    <row r="19" spans="2:7" ht="21.75" customHeight="1" x14ac:dyDescent="0.2">
      <c r="B19" s="113"/>
      <c r="C19" s="509" t="s">
        <v>600</v>
      </c>
      <c r="D19" s="204"/>
      <c r="E19" s="204">
        <v>700000</v>
      </c>
      <c r="F19" s="204">
        <v>335673</v>
      </c>
      <c r="G19" s="321">
        <f t="shared" si="0"/>
        <v>47.953285714285713</v>
      </c>
    </row>
    <row r="20" spans="2:7" ht="21.75" customHeight="1" x14ac:dyDescent="0.2">
      <c r="B20" s="113"/>
      <c r="C20" s="509" t="s">
        <v>601</v>
      </c>
      <c r="D20" s="204"/>
      <c r="E20" s="204">
        <v>1015000</v>
      </c>
      <c r="F20" s="204">
        <v>482125</v>
      </c>
      <c r="G20" s="321">
        <f t="shared" si="0"/>
        <v>47.5</v>
      </c>
    </row>
    <row r="21" spans="2:7" ht="21.75" customHeight="1" x14ac:dyDescent="0.2">
      <c r="B21" s="113"/>
      <c r="C21" s="509" t="s">
        <v>619</v>
      </c>
      <c r="D21" s="204"/>
      <c r="E21" s="204">
        <v>915000</v>
      </c>
      <c r="F21" s="204">
        <v>434625</v>
      </c>
      <c r="G21" s="321">
        <f t="shared" si="0"/>
        <v>47.5</v>
      </c>
    </row>
    <row r="22" spans="2:7" ht="21.75" customHeight="1" x14ac:dyDescent="0.2">
      <c r="B22" s="113"/>
      <c r="C22" s="509" t="s">
        <v>628</v>
      </c>
      <c r="D22" s="204"/>
      <c r="E22" s="204">
        <v>69819</v>
      </c>
      <c r="F22" s="204">
        <v>69819</v>
      </c>
      <c r="G22" s="321">
        <f t="shared" si="0"/>
        <v>100</v>
      </c>
    </row>
    <row r="23" spans="2:7" ht="21.75" customHeight="1" x14ac:dyDescent="0.2">
      <c r="B23" s="113"/>
      <c r="C23" s="509" t="s">
        <v>610</v>
      </c>
      <c r="D23" s="204"/>
      <c r="E23" s="204">
        <v>1155000</v>
      </c>
      <c r="F23" s="204">
        <v>548625</v>
      </c>
      <c r="G23" s="321">
        <f t="shared" si="0"/>
        <v>47.5</v>
      </c>
    </row>
    <row r="24" spans="2:7" ht="21.75" customHeight="1" x14ac:dyDescent="0.2">
      <c r="B24" s="113"/>
      <c r="C24" s="509" t="s">
        <v>622</v>
      </c>
      <c r="D24" s="204"/>
      <c r="E24" s="204">
        <v>750000</v>
      </c>
      <c r="F24" s="204">
        <v>375000</v>
      </c>
      <c r="G24" s="321">
        <f t="shared" si="0"/>
        <v>50</v>
      </c>
    </row>
    <row r="25" spans="2:7" ht="21.75" customHeight="1" x14ac:dyDescent="0.2">
      <c r="B25" s="113"/>
      <c r="C25" s="148" t="s">
        <v>640</v>
      </c>
      <c r="D25" s="204"/>
      <c r="E25" s="204">
        <v>1601000</v>
      </c>
      <c r="F25" s="204">
        <v>760475</v>
      </c>
      <c r="G25" s="321">
        <f t="shared" si="0"/>
        <v>47.5</v>
      </c>
    </row>
    <row r="26" spans="2:7" ht="21.75" customHeight="1" x14ac:dyDescent="0.2">
      <c r="B26" s="113"/>
      <c r="C26" s="509" t="s">
        <v>639</v>
      </c>
      <c r="D26" s="204"/>
      <c r="E26" s="204">
        <v>564000</v>
      </c>
      <c r="F26" s="204">
        <v>269304</v>
      </c>
      <c r="G26" s="321">
        <f t="shared" si="0"/>
        <v>47.748936170212765</v>
      </c>
    </row>
    <row r="27" spans="2:7" ht="21.75" customHeight="1" x14ac:dyDescent="0.2">
      <c r="B27" s="113"/>
      <c r="C27" s="509" t="s">
        <v>627</v>
      </c>
      <c r="D27" s="204"/>
      <c r="E27" s="204">
        <v>630510</v>
      </c>
      <c r="F27" s="204">
        <v>300600</v>
      </c>
      <c r="G27" s="321">
        <f t="shared" si="0"/>
        <v>47.675691107198936</v>
      </c>
    </row>
    <row r="28" spans="2:7" ht="21.75" customHeight="1" x14ac:dyDescent="0.2">
      <c r="B28" s="113"/>
      <c r="C28" s="509" t="s">
        <v>626</v>
      </c>
      <c r="D28" s="204"/>
      <c r="E28" s="204">
        <v>294058</v>
      </c>
      <c r="F28" s="204">
        <v>279580</v>
      </c>
      <c r="G28" s="321">
        <f t="shared" si="0"/>
        <v>95.076481510450321</v>
      </c>
    </row>
    <row r="29" spans="2:7" ht="21.75" customHeight="1" x14ac:dyDescent="0.2">
      <c r="B29" s="113"/>
      <c r="C29" s="509" t="s">
        <v>615</v>
      </c>
      <c r="D29" s="204"/>
      <c r="E29" s="204">
        <v>456000</v>
      </c>
      <c r="F29" s="204">
        <v>456000</v>
      </c>
      <c r="G29" s="321">
        <f t="shared" si="0"/>
        <v>100</v>
      </c>
    </row>
    <row r="30" spans="2:7" ht="21.75" customHeight="1" x14ac:dyDescent="0.2">
      <c r="B30" s="113"/>
      <c r="C30" s="509" t="s">
        <v>612</v>
      </c>
      <c r="D30" s="204"/>
      <c r="E30" s="204">
        <v>296128</v>
      </c>
      <c r="F30" s="204">
        <v>282475</v>
      </c>
      <c r="G30" s="321">
        <f t="shared" si="0"/>
        <v>95.389493732440016</v>
      </c>
    </row>
    <row r="31" spans="2:7" ht="21.75" customHeight="1" x14ac:dyDescent="0.2">
      <c r="B31" s="113"/>
      <c r="C31" s="509" t="s">
        <v>624</v>
      </c>
      <c r="D31" s="204"/>
      <c r="E31" s="204">
        <v>182993</v>
      </c>
      <c r="F31" s="204">
        <v>174674</v>
      </c>
      <c r="G31" s="321">
        <f t="shared" si="0"/>
        <v>95.453924467056112</v>
      </c>
    </row>
    <row r="32" spans="2:7" ht="21.75" customHeight="1" x14ac:dyDescent="0.2">
      <c r="B32" s="113"/>
      <c r="C32" s="509" t="s">
        <v>625</v>
      </c>
      <c r="D32" s="204"/>
      <c r="E32" s="204">
        <v>294312</v>
      </c>
      <c r="F32" s="204">
        <v>280850</v>
      </c>
      <c r="G32" s="321">
        <f t="shared" si="0"/>
        <v>95.425942537171437</v>
      </c>
    </row>
    <row r="33" spans="1:7" ht="21.75" customHeight="1" x14ac:dyDescent="0.2">
      <c r="B33" s="113"/>
      <c r="C33" s="509" t="s">
        <v>629</v>
      </c>
      <c r="D33" s="204"/>
      <c r="E33" s="204">
        <v>376215</v>
      </c>
      <c r="F33" s="204">
        <v>355946</v>
      </c>
      <c r="G33" s="321">
        <f t="shared" si="0"/>
        <v>94.612389192350122</v>
      </c>
    </row>
    <row r="34" spans="1:7" ht="22.5" customHeight="1" x14ac:dyDescent="0.25">
      <c r="B34" s="398" t="s">
        <v>588</v>
      </c>
      <c r="C34" s="399"/>
      <c r="D34" s="118">
        <f>+D6+D13</f>
        <v>0</v>
      </c>
      <c r="E34" s="118">
        <f>+E6+E13</f>
        <v>13876164</v>
      </c>
      <c r="F34" s="118">
        <f t="shared" ref="F34" si="1">+F6+F13</f>
        <v>9536493</v>
      </c>
      <c r="G34" s="333">
        <f>+F34/E34*100</f>
        <v>68.725715550781914</v>
      </c>
    </row>
    <row r="35" spans="1:7" ht="22.5" customHeight="1" x14ac:dyDescent="0.25">
      <c r="B35" s="195" t="s">
        <v>573</v>
      </c>
      <c r="C35" s="196"/>
      <c r="D35" s="197"/>
      <c r="E35" s="197"/>
      <c r="F35" s="197"/>
      <c r="G35" s="197"/>
    </row>
    <row r="36" spans="1:7" ht="21.75" customHeight="1" x14ac:dyDescent="0.2">
      <c r="A36" s="389"/>
      <c r="B36" s="113"/>
      <c r="C36" s="120" t="s">
        <v>479</v>
      </c>
      <c r="D36" s="141">
        <v>300000</v>
      </c>
      <c r="E36" s="141">
        <v>195480</v>
      </c>
      <c r="F36" s="141">
        <v>195480</v>
      </c>
      <c r="G36" s="257">
        <f t="shared" ref="G36:G41" si="2">+F36/E36*100</f>
        <v>100</v>
      </c>
    </row>
    <row r="37" spans="1:7" ht="21.75" customHeight="1" x14ac:dyDescent="0.2">
      <c r="B37" s="113"/>
      <c r="C37" s="148" t="s">
        <v>77</v>
      </c>
      <c r="D37" s="141"/>
      <c r="E37" s="141">
        <v>14000</v>
      </c>
      <c r="F37" s="141">
        <v>14000</v>
      </c>
      <c r="G37" s="257">
        <f t="shared" si="2"/>
        <v>100</v>
      </c>
    </row>
    <row r="38" spans="1:7" ht="21.75" customHeight="1" x14ac:dyDescent="0.2">
      <c r="B38" s="113"/>
      <c r="C38" s="148" t="s">
        <v>1420</v>
      </c>
      <c r="D38" s="141"/>
      <c r="E38" s="141">
        <v>3470</v>
      </c>
      <c r="F38" s="141">
        <v>3470</v>
      </c>
      <c r="G38" s="257">
        <f t="shared" si="2"/>
        <v>100</v>
      </c>
    </row>
    <row r="39" spans="1:7" ht="21.75" customHeight="1" x14ac:dyDescent="0.2">
      <c r="B39" s="113"/>
      <c r="C39" s="148" t="s">
        <v>591</v>
      </c>
      <c r="D39" s="141"/>
      <c r="E39" s="141">
        <v>61409</v>
      </c>
      <c r="F39" s="141">
        <v>61409</v>
      </c>
      <c r="G39" s="257">
        <f t="shared" si="2"/>
        <v>100</v>
      </c>
    </row>
    <row r="40" spans="1:7" ht="21.75" customHeight="1" thickBot="1" x14ac:dyDescent="0.25">
      <c r="B40" s="113"/>
      <c r="C40" s="148" t="s">
        <v>324</v>
      </c>
      <c r="D40" s="141">
        <v>50000</v>
      </c>
      <c r="E40" s="141">
        <v>0</v>
      </c>
      <c r="F40" s="141"/>
      <c r="G40" s="257"/>
    </row>
    <row r="41" spans="1:7" ht="21.95" customHeight="1" thickBot="1" x14ac:dyDescent="0.3">
      <c r="B41" s="199" t="s">
        <v>574</v>
      </c>
      <c r="C41" s="200"/>
      <c r="D41" s="201">
        <f>SUM(D36:D40)</f>
        <v>350000</v>
      </c>
      <c r="E41" s="201">
        <f>SUM(E36:E40)</f>
        <v>274359</v>
      </c>
      <c r="F41" s="201">
        <f>SUM(F36:F40)</f>
        <v>274359</v>
      </c>
      <c r="G41" s="258">
        <f t="shared" si="2"/>
        <v>100</v>
      </c>
    </row>
    <row r="42" spans="1:7" ht="21.95" customHeight="1" x14ac:dyDescent="0.25">
      <c r="B42" s="206" t="s">
        <v>589</v>
      </c>
      <c r="C42" s="207"/>
      <c r="D42" s="208"/>
      <c r="E42" s="208"/>
      <c r="F42" s="208"/>
      <c r="G42" s="208"/>
    </row>
    <row r="43" spans="1:7" ht="33.75" customHeight="1" x14ac:dyDescent="0.25">
      <c r="B43" s="206"/>
      <c r="C43" s="353" t="s">
        <v>158</v>
      </c>
      <c r="D43" s="397"/>
      <c r="E43" s="397"/>
      <c r="F43" s="397"/>
      <c r="G43" s="397"/>
    </row>
    <row r="44" spans="1:7" ht="21.95" customHeight="1" x14ac:dyDescent="0.2">
      <c r="B44" s="113"/>
      <c r="C44" s="209" t="s">
        <v>472</v>
      </c>
      <c r="D44" s="198">
        <v>10000</v>
      </c>
      <c r="E44" s="198">
        <v>14291</v>
      </c>
      <c r="F44" s="198">
        <f>15758+1</f>
        <v>15759</v>
      </c>
      <c r="G44" s="257">
        <f>+F44/E44*100</f>
        <v>110.27219928626408</v>
      </c>
    </row>
    <row r="45" spans="1:7" ht="21.95" customHeight="1" x14ac:dyDescent="0.2">
      <c r="B45" s="113"/>
      <c r="C45" s="188" t="s">
        <v>75</v>
      </c>
      <c r="D45" s="141">
        <v>27000</v>
      </c>
      <c r="E45" s="141">
        <v>23910</v>
      </c>
      <c r="F45" s="141">
        <v>23910</v>
      </c>
      <c r="G45" s="257">
        <f>+F45/E45*100</f>
        <v>100</v>
      </c>
    </row>
    <row r="46" spans="1:7" ht="21.95" customHeight="1" x14ac:dyDescent="0.2">
      <c r="B46" s="113"/>
      <c r="C46" s="188" t="s">
        <v>582</v>
      </c>
      <c r="D46" s="141"/>
      <c r="E46" s="141">
        <v>801</v>
      </c>
      <c r="F46" s="141">
        <v>801</v>
      </c>
      <c r="G46" s="257"/>
    </row>
    <row r="47" spans="1:7" ht="21.95" customHeight="1" x14ac:dyDescent="0.25">
      <c r="B47" s="113"/>
      <c r="C47" s="451" t="s">
        <v>231</v>
      </c>
      <c r="D47" s="141"/>
      <c r="E47" s="141"/>
      <c r="F47" s="141"/>
      <c r="G47" s="257"/>
    </row>
    <row r="48" spans="1:7" ht="21.95" customHeight="1" x14ac:dyDescent="0.2">
      <c r="B48" s="113"/>
      <c r="C48" s="513" t="s">
        <v>352</v>
      </c>
      <c r="D48" s="141"/>
      <c r="E48" s="141">
        <v>3000</v>
      </c>
      <c r="F48" s="141">
        <v>3000</v>
      </c>
      <c r="G48" s="257"/>
    </row>
    <row r="49" spans="2:7" ht="21.95" customHeight="1" x14ac:dyDescent="0.25">
      <c r="B49" s="2697" t="s">
        <v>0</v>
      </c>
      <c r="C49" s="2698"/>
      <c r="D49" s="118">
        <f>SUM(D42:D47)</f>
        <v>37000</v>
      </c>
      <c r="E49" s="118">
        <f>SUM(E42:E48)</f>
        <v>42002</v>
      </c>
      <c r="F49" s="118">
        <f>SUM(F42:F48)</f>
        <v>43470</v>
      </c>
      <c r="G49" s="260">
        <f>+F49/E49*100</f>
        <v>103.49507166325414</v>
      </c>
    </row>
    <row r="50" spans="2:7" ht="21.95" customHeight="1" x14ac:dyDescent="0.25">
      <c r="B50" s="180" t="s">
        <v>563</v>
      </c>
      <c r="C50" s="323"/>
      <c r="D50" s="208"/>
      <c r="E50" s="208"/>
      <c r="F50" s="208"/>
      <c r="G50" s="208"/>
    </row>
    <row r="51" spans="2:7" ht="21.95" customHeight="1" x14ac:dyDescent="0.25">
      <c r="B51" s="206"/>
      <c r="C51" s="108" t="s">
        <v>152</v>
      </c>
      <c r="D51" s="324"/>
      <c r="E51" s="324"/>
      <c r="F51" s="324"/>
      <c r="G51" s="325"/>
    </row>
    <row r="52" spans="2:7" ht="21.95" customHeight="1" x14ac:dyDescent="0.25">
      <c r="B52" s="206"/>
      <c r="C52" s="514" t="s">
        <v>353</v>
      </c>
      <c r="D52" s="141"/>
      <c r="E52" s="141">
        <v>50</v>
      </c>
      <c r="F52" s="198">
        <v>50</v>
      </c>
      <c r="G52" s="257"/>
    </row>
    <row r="53" spans="2:7" ht="21.95" customHeight="1" x14ac:dyDescent="0.25">
      <c r="B53" s="206"/>
      <c r="C53" s="312" t="s">
        <v>564</v>
      </c>
      <c r="D53" s="141"/>
      <c r="E53" s="141"/>
      <c r="F53" s="198"/>
      <c r="G53" s="257"/>
    </row>
    <row r="54" spans="2:7" ht="21.95" customHeight="1" x14ac:dyDescent="0.25">
      <c r="B54" s="206"/>
      <c r="C54" s="312" t="s">
        <v>473</v>
      </c>
      <c r="D54" s="204"/>
      <c r="E54" s="204"/>
      <c r="F54" s="1937"/>
      <c r="G54" s="257"/>
    </row>
    <row r="55" spans="2:7" ht="21.95" customHeight="1" x14ac:dyDescent="0.25">
      <c r="B55" s="206"/>
      <c r="C55" s="312" t="s">
        <v>474</v>
      </c>
      <c r="D55" s="208"/>
      <c r="E55" s="334"/>
      <c r="F55" s="334">
        <v>1055</v>
      </c>
      <c r="G55" s="208"/>
    </row>
    <row r="56" spans="2:7" ht="21.95" customHeight="1" x14ac:dyDescent="0.25">
      <c r="B56" s="206"/>
      <c r="C56" s="312" t="s">
        <v>565</v>
      </c>
      <c r="D56" s="198"/>
      <c r="E56" s="198">
        <v>40</v>
      </c>
      <c r="F56" s="198">
        <v>39</v>
      </c>
      <c r="G56" s="257"/>
    </row>
    <row r="57" spans="2:7" ht="21.95" customHeight="1" x14ac:dyDescent="0.25">
      <c r="B57" s="206"/>
      <c r="C57" s="312" t="s">
        <v>566</v>
      </c>
      <c r="D57" s="208"/>
      <c r="E57" s="334"/>
      <c r="F57" s="334">
        <v>12</v>
      </c>
      <c r="G57" s="257"/>
    </row>
    <row r="58" spans="2:7" ht="21.95" customHeight="1" x14ac:dyDescent="0.25">
      <c r="B58" s="206"/>
      <c r="C58" s="186" t="s">
        <v>90</v>
      </c>
      <c r="D58" s="198"/>
      <c r="E58" s="198">
        <v>14</v>
      </c>
      <c r="F58" s="198">
        <v>14</v>
      </c>
      <c r="G58" s="257"/>
    </row>
    <row r="59" spans="2:7" ht="21.95" customHeight="1" x14ac:dyDescent="0.25">
      <c r="B59" s="206"/>
      <c r="C59" s="186" t="s">
        <v>467</v>
      </c>
      <c r="D59" s="141">
        <v>1270</v>
      </c>
      <c r="E59" s="141">
        <v>4630</v>
      </c>
      <c r="F59" s="198">
        <v>4630</v>
      </c>
      <c r="G59" s="257">
        <f>+F59/E59*100</f>
        <v>100</v>
      </c>
    </row>
    <row r="60" spans="2:7" ht="21.95" customHeight="1" x14ac:dyDescent="0.25">
      <c r="B60" s="206"/>
      <c r="C60" s="186" t="s">
        <v>128</v>
      </c>
      <c r="D60" s="141"/>
      <c r="E60" s="141"/>
      <c r="F60" s="141"/>
      <c r="G60" s="257"/>
    </row>
    <row r="61" spans="2:7" ht="21.95" customHeight="1" x14ac:dyDescent="0.25">
      <c r="B61" s="206"/>
      <c r="C61" s="350" t="s">
        <v>129</v>
      </c>
      <c r="D61" s="355"/>
      <c r="E61" s="355"/>
      <c r="F61" s="355"/>
      <c r="G61" s="356"/>
    </row>
    <row r="62" spans="2:7" ht="21.95" customHeight="1" x14ac:dyDescent="0.25">
      <c r="B62" s="206"/>
      <c r="C62" s="354" t="s">
        <v>162</v>
      </c>
      <c r="D62" s="261">
        <f>SUM(D51:D61)</f>
        <v>1270</v>
      </c>
      <c r="E62" s="261">
        <f>SUM(E51:E61)</f>
        <v>4734</v>
      </c>
      <c r="F62" s="261">
        <f>SUM(F51:F61)</f>
        <v>5800</v>
      </c>
      <c r="G62" s="357"/>
    </row>
    <row r="63" spans="2:7" ht="21.95" customHeight="1" x14ac:dyDescent="0.25">
      <c r="B63" s="206"/>
      <c r="C63" s="185" t="s">
        <v>116</v>
      </c>
      <c r="D63" s="352"/>
      <c r="E63" s="352"/>
      <c r="F63" s="352"/>
      <c r="G63" s="325"/>
    </row>
    <row r="64" spans="2:7" ht="21.95" customHeight="1" x14ac:dyDescent="0.25">
      <c r="B64" s="206"/>
      <c r="C64" s="108" t="s">
        <v>87</v>
      </c>
      <c r="D64" s="205"/>
      <c r="E64" s="205">
        <v>5342</v>
      </c>
      <c r="F64" s="205">
        <v>5342</v>
      </c>
      <c r="G64" s="257">
        <f>+F64/E64*100</f>
        <v>100</v>
      </c>
    </row>
    <row r="65" spans="2:7" ht="21.95" customHeight="1" x14ac:dyDescent="0.25">
      <c r="B65" s="2697" t="s">
        <v>208</v>
      </c>
      <c r="C65" s="2698"/>
      <c r="D65" s="118">
        <f>SUM(D62:D64)</f>
        <v>1270</v>
      </c>
      <c r="E65" s="118">
        <f>SUM(E62:E64)</f>
        <v>10076</v>
      </c>
      <c r="F65" s="118">
        <f>SUM(F62:F64)</f>
        <v>11142</v>
      </c>
      <c r="G65" s="260">
        <f>+F65/E65*100</f>
        <v>110.57959507741167</v>
      </c>
    </row>
    <row r="66" spans="2:7" ht="21.95" customHeight="1" thickBot="1" x14ac:dyDescent="0.3">
      <c r="B66" s="2703" t="s">
        <v>1</v>
      </c>
      <c r="C66" s="2704"/>
      <c r="D66" s="149">
        <f>D34+D41+D49+D65</f>
        <v>388270</v>
      </c>
      <c r="E66" s="149">
        <f t="shared" ref="E66:F66" si="3">E34+E41+E49+E65</f>
        <v>14202601</v>
      </c>
      <c r="F66" s="149">
        <f t="shared" si="3"/>
        <v>9865464</v>
      </c>
      <c r="G66" s="259">
        <f>+F66/E66*100</f>
        <v>69.462375236761204</v>
      </c>
    </row>
    <row r="73" spans="2:7" x14ac:dyDescent="0.2">
      <c r="F73" s="203"/>
    </row>
    <row r="74" spans="2:7" x14ac:dyDescent="0.2">
      <c r="F74" s="203"/>
    </row>
    <row r="75" spans="2:7" x14ac:dyDescent="0.2">
      <c r="F75" s="203"/>
    </row>
    <row r="76" spans="2:7" x14ac:dyDescent="0.2">
      <c r="F76" s="203"/>
    </row>
    <row r="77" spans="2:7" x14ac:dyDescent="0.2">
      <c r="F77" s="203"/>
    </row>
    <row r="78" spans="2:7" x14ac:dyDescent="0.2">
      <c r="F78" s="203"/>
    </row>
    <row r="84" spans="3:7" ht="15.75" x14ac:dyDescent="0.25">
      <c r="C84" s="2701"/>
      <c r="D84" s="2701"/>
      <c r="E84" s="2701"/>
      <c r="F84" s="143"/>
      <c r="G84" s="143"/>
    </row>
    <row r="85" spans="3:7" ht="15.75" x14ac:dyDescent="0.25">
      <c r="C85" s="143"/>
      <c r="D85" s="390"/>
      <c r="E85" s="391"/>
      <c r="F85" s="143"/>
      <c r="G85" s="143"/>
    </row>
    <row r="86" spans="3:7" ht="15.75" x14ac:dyDescent="0.25">
      <c r="C86" s="143"/>
      <c r="D86" s="207"/>
      <c r="E86" s="2702"/>
      <c r="F86" s="2702"/>
      <c r="G86" s="142"/>
    </row>
    <row r="87" spans="3:7" ht="15.75" x14ac:dyDescent="0.25">
      <c r="C87" s="143"/>
      <c r="D87" s="196"/>
      <c r="E87" s="52"/>
      <c r="F87" s="52"/>
      <c r="G87" s="142"/>
    </row>
    <row r="88" spans="3:7" ht="15.75" x14ac:dyDescent="0.25">
      <c r="C88" s="392"/>
      <c r="D88" s="196"/>
      <c r="E88" s="272"/>
      <c r="F88" s="272"/>
      <c r="G88" s="272"/>
    </row>
    <row r="89" spans="3:7" x14ac:dyDescent="0.2">
      <c r="C89" s="393"/>
      <c r="D89" s="351"/>
      <c r="E89" s="394"/>
      <c r="F89" s="394"/>
      <c r="G89" s="394"/>
    </row>
    <row r="90" spans="3:7" x14ac:dyDescent="0.2">
      <c r="C90" s="74"/>
      <c r="D90" s="349"/>
      <c r="E90" s="395"/>
      <c r="F90" s="395"/>
      <c r="G90" s="395"/>
    </row>
    <row r="91" spans="3:7" x14ac:dyDescent="0.2">
      <c r="C91" s="74"/>
      <c r="D91" s="349"/>
      <c r="E91" s="395"/>
      <c r="F91" s="395"/>
      <c r="G91" s="395"/>
    </row>
    <row r="92" spans="3:7" x14ac:dyDescent="0.2">
      <c r="C92" s="74"/>
      <c r="D92" s="349"/>
      <c r="E92" s="395"/>
      <c r="F92" s="395"/>
      <c r="G92" s="395"/>
    </row>
  </sheetData>
  <mergeCells count="7">
    <mergeCell ref="B1:G1"/>
    <mergeCell ref="B49:C49"/>
    <mergeCell ref="D3:E3"/>
    <mergeCell ref="C84:E84"/>
    <mergeCell ref="E86:F86"/>
    <mergeCell ref="B65:C65"/>
    <mergeCell ref="B66:C66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1" orientation="portrait" r:id="rId1"/>
  <headerFooter alignWithMargins="0">
    <oddHeader>&amp;R&amp;"Arial,Félkövér"&amp;14 17.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G1061"/>
  <sheetViews>
    <sheetView zoomScaleNormal="100" zoomScaleSheetLayoutView="85" workbookViewId="0">
      <selection activeCell="B1" sqref="B1:G1"/>
    </sheetView>
  </sheetViews>
  <sheetFormatPr defaultColWidth="10.6640625" defaultRowHeight="15" customHeight="1" x14ac:dyDescent="0.2"/>
  <cols>
    <col min="1" max="1" width="17.5" style="107" customWidth="1"/>
    <col min="2" max="2" width="5.6640625" style="42" customWidth="1"/>
    <col min="3" max="3" width="132.6640625" style="42" customWidth="1"/>
    <col min="4" max="4" width="24.83203125" style="42" customWidth="1"/>
    <col min="5" max="6" width="24.83203125" style="92" customWidth="1"/>
    <col min="7" max="7" width="24.83203125" style="42" customWidth="1"/>
    <col min="8" max="16384" width="10.6640625" style="42"/>
  </cols>
  <sheetData>
    <row r="1" spans="2:7" ht="24" customHeight="1" x14ac:dyDescent="0.25">
      <c r="B1" s="2705"/>
      <c r="C1" s="2705"/>
      <c r="D1" s="2705"/>
      <c r="E1" s="2705"/>
      <c r="F1" s="2705"/>
      <c r="G1" s="2705"/>
    </row>
    <row r="2" spans="2:7" ht="24" customHeight="1" x14ac:dyDescent="0.3">
      <c r="B2" s="2706" t="s">
        <v>491</v>
      </c>
      <c r="C2" s="2706"/>
      <c r="D2" s="2706"/>
      <c r="E2" s="2706"/>
      <c r="F2" s="2706"/>
      <c r="G2" s="2706"/>
    </row>
    <row r="3" spans="2:7" ht="24.75" customHeight="1" thickBot="1" x14ac:dyDescent="0.25">
      <c r="B3" s="42" t="s">
        <v>110</v>
      </c>
      <c r="C3" s="144"/>
      <c r="G3" s="44" t="s">
        <v>38</v>
      </c>
    </row>
    <row r="4" spans="2:7" ht="26.1" customHeight="1" x14ac:dyDescent="0.25">
      <c r="B4" s="2707" t="s">
        <v>59</v>
      </c>
      <c r="C4" s="2708"/>
      <c r="D4" s="2709" t="s">
        <v>173</v>
      </c>
      <c r="E4" s="2710"/>
      <c r="F4" s="1705" t="s">
        <v>608</v>
      </c>
      <c r="G4" s="1706" t="s">
        <v>206</v>
      </c>
    </row>
    <row r="5" spans="2:7" ht="26.1" customHeight="1" thickBot="1" x14ac:dyDescent="0.3">
      <c r="B5" s="1707"/>
      <c r="C5" s="1803"/>
      <c r="D5" s="1708" t="s">
        <v>406</v>
      </c>
      <c r="E5" s="1809" t="s">
        <v>204</v>
      </c>
      <c r="F5" s="1709" t="s">
        <v>205</v>
      </c>
      <c r="G5" s="1710" t="s">
        <v>207</v>
      </c>
    </row>
    <row r="6" spans="2:7" ht="26.1" customHeight="1" x14ac:dyDescent="0.25">
      <c r="B6" s="1711" t="s">
        <v>382</v>
      </c>
      <c r="C6" s="1804" t="s">
        <v>163</v>
      </c>
      <c r="D6" s="1712"/>
      <c r="E6" s="1713"/>
      <c r="F6" s="1713"/>
      <c r="G6" s="1714"/>
    </row>
    <row r="7" spans="2:7" ht="26.1" customHeight="1" x14ac:dyDescent="0.25">
      <c r="B7" s="1715"/>
      <c r="C7" s="1805" t="s">
        <v>251</v>
      </c>
      <c r="D7" s="1716">
        <v>47720</v>
      </c>
      <c r="E7" s="1716">
        <v>143161</v>
      </c>
      <c r="F7" s="1717">
        <v>95441</v>
      </c>
      <c r="G7" s="1718">
        <f>+F7/E7*100</f>
        <v>66.666899504753388</v>
      </c>
    </row>
    <row r="8" spans="2:7" ht="26.1" customHeight="1" x14ac:dyDescent="0.25">
      <c r="B8" s="1715"/>
      <c r="C8" s="1719" t="s">
        <v>1422</v>
      </c>
      <c r="D8" s="1720"/>
      <c r="E8" s="1720">
        <v>331</v>
      </c>
      <c r="F8" s="1721">
        <v>331</v>
      </c>
      <c r="G8" s="1722">
        <f t="shared" ref="G8:G17" si="0">+F8/E8*100</f>
        <v>100</v>
      </c>
    </row>
    <row r="9" spans="2:7" ht="26.1" customHeight="1" x14ac:dyDescent="0.25">
      <c r="B9" s="1715"/>
      <c r="C9" s="1723" t="s">
        <v>263</v>
      </c>
      <c r="D9" s="1720">
        <v>20000</v>
      </c>
      <c r="E9" s="1720">
        <v>22500</v>
      </c>
      <c r="F9" s="1721">
        <v>22500</v>
      </c>
      <c r="G9" s="1722">
        <f t="shared" si="0"/>
        <v>100</v>
      </c>
    </row>
    <row r="10" spans="2:7" ht="26.1" customHeight="1" x14ac:dyDescent="0.25">
      <c r="B10" s="1715"/>
      <c r="C10" s="424" t="s">
        <v>354</v>
      </c>
      <c r="D10" s="1720"/>
      <c r="E10" s="1720">
        <v>2000</v>
      </c>
      <c r="F10" s="1721">
        <v>2000</v>
      </c>
      <c r="G10" s="1724">
        <f t="shared" si="0"/>
        <v>100</v>
      </c>
    </row>
    <row r="11" spans="2:7" ht="26.1" customHeight="1" x14ac:dyDescent="0.25">
      <c r="B11" s="1715"/>
      <c r="C11" s="425" t="s">
        <v>546</v>
      </c>
      <c r="D11" s="1725"/>
      <c r="E11" s="1725">
        <v>21353</v>
      </c>
      <c r="F11" s="1726">
        <v>19950</v>
      </c>
      <c r="G11" s="1727">
        <f t="shared" si="0"/>
        <v>93.429494684587638</v>
      </c>
    </row>
    <row r="12" spans="2:7" ht="26.1" customHeight="1" x14ac:dyDescent="0.25">
      <c r="B12" s="1715"/>
      <c r="C12" s="424" t="s">
        <v>179</v>
      </c>
      <c r="D12" s="1720">
        <v>1500</v>
      </c>
      <c r="E12" s="1720">
        <v>1500</v>
      </c>
      <c r="F12" s="1721">
        <v>1500</v>
      </c>
      <c r="G12" s="1724">
        <f t="shared" si="0"/>
        <v>100</v>
      </c>
    </row>
    <row r="13" spans="2:7" ht="26.1" customHeight="1" x14ac:dyDescent="0.25">
      <c r="B13" s="1715"/>
      <c r="C13" s="424" t="s">
        <v>180</v>
      </c>
      <c r="D13" s="1720">
        <v>50000</v>
      </c>
      <c r="E13" s="1720">
        <v>50000</v>
      </c>
      <c r="F13" s="1721">
        <v>50000</v>
      </c>
      <c r="G13" s="1724">
        <f t="shared" si="0"/>
        <v>100</v>
      </c>
    </row>
    <row r="14" spans="2:7" ht="26.1" customHeight="1" x14ac:dyDescent="0.25">
      <c r="B14" s="1715"/>
      <c r="C14" s="1723" t="s">
        <v>42</v>
      </c>
      <c r="D14" s="1720"/>
      <c r="E14" s="1720">
        <v>1000</v>
      </c>
      <c r="F14" s="1721">
        <v>1000</v>
      </c>
      <c r="G14" s="1724">
        <f>+F14/E14*100</f>
        <v>100</v>
      </c>
    </row>
    <row r="15" spans="2:7" ht="26.1" customHeight="1" x14ac:dyDescent="0.25">
      <c r="B15" s="1715"/>
      <c r="C15" s="424" t="s">
        <v>603</v>
      </c>
      <c r="D15" s="1720"/>
      <c r="E15" s="1720">
        <v>8000</v>
      </c>
      <c r="F15" s="1721">
        <v>8000</v>
      </c>
      <c r="G15" s="1724">
        <f>+F15/E15*100</f>
        <v>100</v>
      </c>
    </row>
    <row r="16" spans="2:7" ht="26.1" customHeight="1" x14ac:dyDescent="0.25">
      <c r="B16" s="1715"/>
      <c r="C16" s="425" t="s">
        <v>604</v>
      </c>
      <c r="D16" s="1725"/>
      <c r="E16" s="1725">
        <v>682</v>
      </c>
      <c r="F16" s="1726"/>
      <c r="G16" s="1727">
        <f>+F16/E16*100</f>
        <v>0</v>
      </c>
    </row>
    <row r="17" spans="1:7" ht="26.1" customHeight="1" x14ac:dyDescent="0.25">
      <c r="B17" s="1728"/>
      <c r="C17" s="1729" t="s">
        <v>389</v>
      </c>
      <c r="D17" s="1730">
        <f>SUM(D7:D16)</f>
        <v>119220</v>
      </c>
      <c r="E17" s="1730">
        <f>SUM(E7:E16)</f>
        <v>250527</v>
      </c>
      <c r="F17" s="1730">
        <f>SUM(F7:F16)</f>
        <v>200722</v>
      </c>
      <c r="G17" s="1731">
        <f t="shared" si="0"/>
        <v>80.119907235547458</v>
      </c>
    </row>
    <row r="18" spans="1:7" ht="26.1" customHeight="1" x14ac:dyDescent="0.25">
      <c r="B18" s="1732" t="s">
        <v>71</v>
      </c>
      <c r="C18" s="1733" t="s">
        <v>70</v>
      </c>
      <c r="D18" s="1734"/>
      <c r="E18" s="1734"/>
      <c r="F18" s="1734"/>
      <c r="G18" s="1735"/>
    </row>
    <row r="19" spans="1:7" ht="26.1" customHeight="1" x14ac:dyDescent="0.25">
      <c r="B19" s="1736"/>
      <c r="C19" s="1737" t="s">
        <v>375</v>
      </c>
      <c r="D19" s="1738">
        <v>100000</v>
      </c>
      <c r="E19" s="1738">
        <v>468</v>
      </c>
      <c r="F19" s="1738"/>
      <c r="G19" s="1739">
        <f>+F19/E19*100</f>
        <v>0</v>
      </c>
    </row>
    <row r="20" spans="1:7" ht="46.5" customHeight="1" x14ac:dyDescent="0.25">
      <c r="B20" s="1736"/>
      <c r="C20" s="1740" t="s">
        <v>171</v>
      </c>
      <c r="D20" s="1741"/>
      <c r="E20" s="1742">
        <v>274</v>
      </c>
      <c r="F20" s="1742">
        <v>274</v>
      </c>
      <c r="G20" s="1743">
        <f>+F20/E20*100</f>
        <v>100</v>
      </c>
    </row>
    <row r="21" spans="1:7" ht="26.1" customHeight="1" x14ac:dyDescent="0.25">
      <c r="B21" s="1728"/>
      <c r="C21" s="1729" t="s">
        <v>290</v>
      </c>
      <c r="D21" s="1730">
        <f>SUM(D19:D20)</f>
        <v>100000</v>
      </c>
      <c r="E21" s="1730">
        <f>SUM(E19:E20)</f>
        <v>742</v>
      </c>
      <c r="F21" s="1730">
        <f>SUM(F19:F20)</f>
        <v>274</v>
      </c>
      <c r="G21" s="1810"/>
    </row>
    <row r="22" spans="1:7" ht="26.1" customHeight="1" x14ac:dyDescent="0.25">
      <c r="B22" s="1732" t="s">
        <v>383</v>
      </c>
      <c r="C22" s="1733" t="s">
        <v>381</v>
      </c>
      <c r="D22" s="1712"/>
      <c r="E22" s="1713"/>
      <c r="F22" s="1713"/>
      <c r="G22" s="1744"/>
    </row>
    <row r="23" spans="1:7" ht="26.1" customHeight="1" x14ac:dyDescent="0.25">
      <c r="B23" s="1715"/>
      <c r="C23" s="270" t="s">
        <v>108</v>
      </c>
      <c r="D23" s="1745">
        <v>1779</v>
      </c>
      <c r="E23" s="1745">
        <v>1942</v>
      </c>
      <c r="F23" s="1717">
        <v>1779</v>
      </c>
      <c r="G23" s="1746">
        <f>+F23/E23*100</f>
        <v>91.606591143151391</v>
      </c>
    </row>
    <row r="24" spans="1:7" ht="26.1" customHeight="1" x14ac:dyDescent="0.25">
      <c r="B24" s="1715"/>
      <c r="C24" s="1723" t="s">
        <v>291</v>
      </c>
      <c r="D24" s="1747">
        <v>40000</v>
      </c>
      <c r="E24" s="1747">
        <v>71766</v>
      </c>
      <c r="F24" s="1721">
        <v>24603</v>
      </c>
      <c r="G24" s="1722">
        <f>+F24/E24*100</f>
        <v>34.282250647939136</v>
      </c>
    </row>
    <row r="25" spans="1:7" ht="26.1" customHeight="1" x14ac:dyDescent="0.25">
      <c r="B25" s="1728"/>
      <c r="C25" s="1729" t="s">
        <v>390</v>
      </c>
      <c r="D25" s="1730">
        <f>SUM(D23:D24)</f>
        <v>41779</v>
      </c>
      <c r="E25" s="1730">
        <f>SUM(E23:E24)</f>
        <v>73708</v>
      </c>
      <c r="F25" s="1730">
        <f>SUM(F23:F24)</f>
        <v>26382</v>
      </c>
      <c r="G25" s="1748">
        <f>+F25/E25*100</f>
        <v>35.792586964779943</v>
      </c>
    </row>
    <row r="26" spans="1:7" ht="26.1" customHeight="1" x14ac:dyDescent="0.25">
      <c r="B26" s="1728" t="s">
        <v>384</v>
      </c>
      <c r="C26" s="1749" t="s">
        <v>21</v>
      </c>
      <c r="D26" s="1750"/>
      <c r="E26" s="1750">
        <v>3560</v>
      </c>
      <c r="F26" s="1750">
        <v>1000</v>
      </c>
      <c r="G26" s="1748">
        <f>+F26/E26*100</f>
        <v>28.08988764044944</v>
      </c>
    </row>
    <row r="27" spans="1:7" ht="26.1" customHeight="1" x14ac:dyDescent="0.25">
      <c r="B27" s="1736" t="s">
        <v>386</v>
      </c>
      <c r="C27" s="1751" t="s">
        <v>385</v>
      </c>
      <c r="D27" s="1712"/>
      <c r="E27" s="1713"/>
      <c r="F27" s="1713"/>
      <c r="G27" s="1752"/>
    </row>
    <row r="28" spans="1:7" ht="26.1" customHeight="1" x14ac:dyDescent="0.25">
      <c r="B28" s="1715"/>
      <c r="C28" s="1753" t="s">
        <v>268</v>
      </c>
      <c r="D28" s="1745">
        <v>45000</v>
      </c>
      <c r="E28" s="1745">
        <v>14877</v>
      </c>
      <c r="F28" s="1721">
        <v>12736</v>
      </c>
      <c r="G28" s="1722">
        <f>+F28/E28*100</f>
        <v>85.608657659474346</v>
      </c>
    </row>
    <row r="29" spans="1:7" ht="26.1" customHeight="1" x14ac:dyDescent="0.25">
      <c r="B29" s="1715"/>
      <c r="C29" s="1754" t="s">
        <v>1423</v>
      </c>
      <c r="D29" s="1745">
        <v>5000</v>
      </c>
      <c r="E29" s="1745">
        <v>30000</v>
      </c>
      <c r="F29" s="1721">
        <v>30000</v>
      </c>
      <c r="G29" s="1722">
        <f>+F29/E29*100</f>
        <v>100</v>
      </c>
    </row>
    <row r="30" spans="1:7" s="430" customFormat="1" ht="26.1" customHeight="1" x14ac:dyDescent="0.25">
      <c r="A30" s="107"/>
      <c r="B30" s="1755"/>
      <c r="C30" s="1753" t="s">
        <v>319</v>
      </c>
      <c r="D30" s="1716"/>
      <c r="E30" s="1717">
        <v>5003</v>
      </c>
      <c r="F30" s="1721"/>
      <c r="G30" s="1722">
        <f t="shared" ref="G30:G33" si="1">+F30/E30*100</f>
        <v>0</v>
      </c>
    </row>
    <row r="31" spans="1:7" ht="26.1" customHeight="1" x14ac:dyDescent="0.25">
      <c r="B31" s="1715"/>
      <c r="C31" s="1753" t="s">
        <v>569</v>
      </c>
      <c r="D31" s="1747">
        <v>14499</v>
      </c>
      <c r="E31" s="1747">
        <v>27138</v>
      </c>
      <c r="F31" s="1721">
        <v>25273</v>
      </c>
      <c r="G31" s="1722">
        <f t="shared" si="1"/>
        <v>93.127717591569009</v>
      </c>
    </row>
    <row r="32" spans="1:7" ht="26.1" customHeight="1" x14ac:dyDescent="0.25">
      <c r="B32" s="1715"/>
      <c r="C32" s="1756" t="s">
        <v>289</v>
      </c>
      <c r="D32" s="1757">
        <v>483333</v>
      </c>
      <c r="E32" s="1757">
        <v>483333</v>
      </c>
      <c r="F32" s="1726">
        <v>483333</v>
      </c>
      <c r="G32" s="1746">
        <f t="shared" si="1"/>
        <v>100</v>
      </c>
    </row>
    <row r="33" spans="1:7" ht="26.1" customHeight="1" x14ac:dyDescent="0.25">
      <c r="B33" s="1728"/>
      <c r="C33" s="1749" t="s">
        <v>391</v>
      </c>
      <c r="D33" s="1730">
        <f>SUM(D28:D32)</f>
        <v>547832</v>
      </c>
      <c r="E33" s="1730">
        <f>SUM(E28:E32)</f>
        <v>560351</v>
      </c>
      <c r="F33" s="1730">
        <f>SUM(F28:F32)</f>
        <v>551342</v>
      </c>
      <c r="G33" s="1748">
        <f t="shared" si="1"/>
        <v>98.392257709899695</v>
      </c>
    </row>
    <row r="34" spans="1:7" ht="26.1" customHeight="1" x14ac:dyDescent="0.25">
      <c r="B34" s="1736" t="s">
        <v>387</v>
      </c>
      <c r="C34" s="1751" t="s">
        <v>392</v>
      </c>
      <c r="D34" s="1712"/>
      <c r="E34" s="1713"/>
      <c r="F34" s="1726"/>
      <c r="G34" s="1752"/>
    </row>
    <row r="35" spans="1:7" ht="26.1" customHeight="1" x14ac:dyDescent="0.3">
      <c r="B35" s="1758" t="s">
        <v>379</v>
      </c>
      <c r="C35" s="1759"/>
      <c r="D35" s="1712"/>
      <c r="E35" s="1713"/>
      <c r="F35" s="1726"/>
      <c r="G35" s="1752"/>
    </row>
    <row r="36" spans="1:7" s="430" customFormat="1" ht="26.1" customHeight="1" x14ac:dyDescent="0.25">
      <c r="A36" s="203"/>
      <c r="B36" s="1755"/>
      <c r="C36" s="651" t="s">
        <v>1424</v>
      </c>
      <c r="D36" s="1760"/>
      <c r="E36" s="1761">
        <v>1842</v>
      </c>
      <c r="F36" s="1761">
        <v>0</v>
      </c>
      <c r="G36" s="1762">
        <f t="shared" ref="G36:G41" si="2">+F36/E36*100</f>
        <v>0</v>
      </c>
    </row>
    <row r="37" spans="1:7" s="43" customFormat="1" ht="26.1" customHeight="1" x14ac:dyDescent="0.25">
      <c r="A37" s="203"/>
      <c r="B37" s="1755"/>
      <c r="C37" s="1723" t="s">
        <v>114</v>
      </c>
      <c r="D37" s="1720"/>
      <c r="E37" s="1721">
        <v>49</v>
      </c>
      <c r="F37" s="1721">
        <v>0</v>
      </c>
      <c r="G37" s="1762">
        <f t="shared" si="2"/>
        <v>0</v>
      </c>
    </row>
    <row r="38" spans="1:7" s="430" customFormat="1" ht="26.1" customHeight="1" x14ac:dyDescent="0.25">
      <c r="A38" s="203"/>
      <c r="B38" s="1755"/>
      <c r="C38" s="1723" t="s">
        <v>15</v>
      </c>
      <c r="D38" s="1720"/>
      <c r="E38" s="1721">
        <v>3920</v>
      </c>
      <c r="F38" s="1721">
        <v>0</v>
      </c>
      <c r="G38" s="1762">
        <f t="shared" si="2"/>
        <v>0</v>
      </c>
    </row>
    <row r="39" spans="1:7" s="430" customFormat="1" ht="26.1" customHeight="1" x14ac:dyDescent="0.25">
      <c r="A39" s="203"/>
      <c r="B39" s="1755"/>
      <c r="C39" s="651" t="s">
        <v>320</v>
      </c>
      <c r="D39" s="1725"/>
      <c r="E39" s="1726">
        <v>5607</v>
      </c>
      <c r="F39" s="1726">
        <v>0</v>
      </c>
      <c r="G39" s="1762">
        <f t="shared" si="2"/>
        <v>0</v>
      </c>
    </row>
    <row r="40" spans="1:7" ht="36.75" customHeight="1" x14ac:dyDescent="0.25">
      <c r="A40" s="522"/>
      <c r="B40" s="1715"/>
      <c r="C40" s="1723" t="s">
        <v>648</v>
      </c>
      <c r="D40" s="1720"/>
      <c r="E40" s="1763">
        <v>334915</v>
      </c>
      <c r="F40" s="1721">
        <f>36159+178443</f>
        <v>214602</v>
      </c>
      <c r="G40" s="1762">
        <f t="shared" si="2"/>
        <v>64.076556738276878</v>
      </c>
    </row>
    <row r="41" spans="1:7" ht="26.1" customHeight="1" x14ac:dyDescent="0.25">
      <c r="A41" s="203"/>
      <c r="B41" s="1715"/>
      <c r="C41" s="1723" t="s">
        <v>547</v>
      </c>
      <c r="D41" s="1720"/>
      <c r="E41" s="1763">
        <v>21500</v>
      </c>
      <c r="F41" s="1721">
        <v>0</v>
      </c>
      <c r="G41" s="1762">
        <f t="shared" si="2"/>
        <v>0</v>
      </c>
    </row>
    <row r="42" spans="1:7" ht="26.1" customHeight="1" x14ac:dyDescent="0.3">
      <c r="B42" s="1758" t="s">
        <v>378</v>
      </c>
      <c r="C42" s="1759"/>
      <c r="D42" s="1747"/>
      <c r="E42" s="1763"/>
      <c r="F42" s="1763"/>
      <c r="G42" s="1722"/>
    </row>
    <row r="43" spans="1:7" ht="26.1" customHeight="1" x14ac:dyDescent="0.25">
      <c r="A43" s="203"/>
      <c r="B43" s="1715"/>
      <c r="C43" s="1770" t="s">
        <v>16</v>
      </c>
      <c r="D43" s="1764">
        <v>240000</v>
      </c>
      <c r="E43" s="1764">
        <v>234129</v>
      </c>
      <c r="F43" s="1765">
        <v>2747</v>
      </c>
      <c r="G43" s="1746">
        <f>+F43/E43*100</f>
        <v>1.1732848130731348</v>
      </c>
    </row>
    <row r="44" spans="1:7" ht="26.1" customHeight="1" x14ac:dyDescent="0.25">
      <c r="A44" s="203"/>
      <c r="B44" s="1715"/>
      <c r="C44" s="1766" t="s">
        <v>355</v>
      </c>
      <c r="D44" s="1764"/>
      <c r="E44" s="1764">
        <v>8257</v>
      </c>
      <c r="F44" s="1765">
        <v>8257</v>
      </c>
      <c r="G44" s="1746">
        <f>+F44/E44*100</f>
        <v>100</v>
      </c>
    </row>
    <row r="45" spans="1:7" ht="26.1" customHeight="1" x14ac:dyDescent="0.25">
      <c r="A45" s="203"/>
      <c r="B45" s="1715"/>
      <c r="C45" s="1767" t="s">
        <v>181</v>
      </c>
      <c r="D45" s="1764">
        <v>60000</v>
      </c>
      <c r="E45" s="1764">
        <v>60000</v>
      </c>
      <c r="F45" s="1765">
        <v>0</v>
      </c>
      <c r="G45" s="1746">
        <f t="shared" ref="G45:G52" si="3">+F45/E45*100</f>
        <v>0</v>
      </c>
    </row>
    <row r="46" spans="1:7" ht="44.25" customHeight="1" x14ac:dyDescent="0.25">
      <c r="A46" s="203"/>
      <c r="B46" s="1715"/>
      <c r="C46" s="1767" t="s">
        <v>182</v>
      </c>
      <c r="D46" s="1764">
        <v>1500</v>
      </c>
      <c r="E46" s="1764">
        <v>1500</v>
      </c>
      <c r="F46" s="1765">
        <v>1163</v>
      </c>
      <c r="G46" s="1746">
        <f t="shared" si="3"/>
        <v>77.533333333333331</v>
      </c>
    </row>
    <row r="47" spans="1:7" ht="26.1" customHeight="1" x14ac:dyDescent="0.25">
      <c r="A47" s="203"/>
      <c r="B47" s="1715"/>
      <c r="C47" s="1767" t="s">
        <v>183</v>
      </c>
      <c r="D47" s="1764">
        <v>6000</v>
      </c>
      <c r="E47" s="1764">
        <v>0</v>
      </c>
      <c r="F47" s="1765"/>
      <c r="G47" s="1746"/>
    </row>
    <row r="48" spans="1:7" ht="26.1" customHeight="1" x14ac:dyDescent="0.25">
      <c r="A48" s="203"/>
      <c r="B48" s="1715"/>
      <c r="C48" s="1753" t="s">
        <v>184</v>
      </c>
      <c r="D48" s="1768">
        <v>10000</v>
      </c>
      <c r="E48" s="1768">
        <v>10321</v>
      </c>
      <c r="F48" s="1763">
        <v>6482</v>
      </c>
      <c r="G48" s="1746">
        <f t="shared" si="3"/>
        <v>62.803991861253749</v>
      </c>
    </row>
    <row r="49" spans="1:7" ht="26.1" customHeight="1" x14ac:dyDescent="0.25">
      <c r="A49" s="203"/>
      <c r="B49" s="1715"/>
      <c r="C49" s="1769" t="s">
        <v>549</v>
      </c>
      <c r="D49" s="1768"/>
      <c r="E49" s="1768">
        <v>25630</v>
      </c>
      <c r="F49" s="1763">
        <v>0</v>
      </c>
      <c r="G49" s="1746">
        <f t="shared" si="3"/>
        <v>0</v>
      </c>
    </row>
    <row r="50" spans="1:7" ht="26.1" customHeight="1" x14ac:dyDescent="0.25">
      <c r="A50" s="203"/>
      <c r="B50" s="1715"/>
      <c r="C50" s="1753" t="s">
        <v>548</v>
      </c>
      <c r="D50" s="1768"/>
      <c r="E50" s="1768">
        <v>1153</v>
      </c>
      <c r="F50" s="1763">
        <v>404</v>
      </c>
      <c r="G50" s="1746">
        <f t="shared" si="3"/>
        <v>35.039028620988724</v>
      </c>
    </row>
    <row r="51" spans="1:7" ht="35.25" customHeight="1" x14ac:dyDescent="0.25">
      <c r="A51" s="203"/>
      <c r="B51" s="1715"/>
      <c r="C51" s="1767" t="s">
        <v>356</v>
      </c>
      <c r="D51" s="1764"/>
      <c r="E51" s="1764">
        <v>4000</v>
      </c>
      <c r="F51" s="1765"/>
      <c r="G51" s="1746">
        <f t="shared" si="3"/>
        <v>0</v>
      </c>
    </row>
    <row r="52" spans="1:7" ht="35.25" customHeight="1" x14ac:dyDescent="0.25">
      <c r="A52" s="203"/>
      <c r="B52" s="1715"/>
      <c r="C52" s="1767" t="s">
        <v>1425</v>
      </c>
      <c r="D52" s="1764"/>
      <c r="E52" s="1764">
        <v>13574</v>
      </c>
      <c r="F52" s="1765"/>
      <c r="G52" s="1746">
        <f t="shared" si="3"/>
        <v>0</v>
      </c>
    </row>
    <row r="53" spans="1:7" ht="26.1" customHeight="1" x14ac:dyDescent="0.3">
      <c r="B53" s="1758" t="s">
        <v>380</v>
      </c>
      <c r="C53" s="1770"/>
      <c r="D53" s="1747"/>
      <c r="E53" s="1747"/>
      <c r="F53" s="1763"/>
      <c r="G53" s="1722"/>
    </row>
    <row r="54" spans="1:7" ht="26.1" customHeight="1" x14ac:dyDescent="0.25">
      <c r="A54" s="203"/>
      <c r="B54" s="1715"/>
      <c r="C54" s="1771" t="s">
        <v>218</v>
      </c>
      <c r="D54" s="1720">
        <v>135000</v>
      </c>
      <c r="E54" s="1763">
        <v>185373</v>
      </c>
      <c r="F54" s="1721">
        <f>88759</f>
        <v>88759</v>
      </c>
      <c r="G54" s="1746">
        <f t="shared" ref="G54:G61" si="4">+F54/E54*100</f>
        <v>47.881298786770458</v>
      </c>
    </row>
    <row r="55" spans="1:7" ht="26.1" customHeight="1" x14ac:dyDescent="0.25">
      <c r="A55" s="203"/>
      <c r="B55" s="1715"/>
      <c r="C55" s="1771" t="s">
        <v>587</v>
      </c>
      <c r="D55" s="1720"/>
      <c r="E55" s="1763">
        <v>4826</v>
      </c>
      <c r="F55" s="1721">
        <v>0</v>
      </c>
      <c r="G55" s="1746">
        <f t="shared" si="4"/>
        <v>0</v>
      </c>
    </row>
    <row r="56" spans="1:7" ht="26.1" customHeight="1" x14ac:dyDescent="0.25">
      <c r="A56" s="203"/>
      <c r="B56" s="1715"/>
      <c r="C56" s="1772" t="s">
        <v>325</v>
      </c>
      <c r="D56" s="1720"/>
      <c r="E56" s="1763">
        <v>117</v>
      </c>
      <c r="F56" s="1721">
        <v>117</v>
      </c>
      <c r="G56" s="1746">
        <f t="shared" si="4"/>
        <v>100</v>
      </c>
    </row>
    <row r="57" spans="1:7" s="43" customFormat="1" ht="40.5" customHeight="1" x14ac:dyDescent="0.25">
      <c r="A57" s="203"/>
      <c r="B57" s="1755"/>
      <c r="C57" s="1773" t="s">
        <v>185</v>
      </c>
      <c r="D57" s="1725">
        <v>30000</v>
      </c>
      <c r="E57" s="1726">
        <v>33508</v>
      </c>
      <c r="F57" s="1726">
        <v>18185</v>
      </c>
      <c r="G57" s="1746">
        <f t="shared" si="4"/>
        <v>54.270621941029006</v>
      </c>
    </row>
    <row r="58" spans="1:7" s="43" customFormat="1" ht="26.1" customHeight="1" x14ac:dyDescent="0.25">
      <c r="A58" s="203"/>
      <c r="B58" s="1755"/>
      <c r="C58" s="1771" t="s">
        <v>186</v>
      </c>
      <c r="D58" s="1720">
        <v>30000</v>
      </c>
      <c r="E58" s="1721">
        <v>30000</v>
      </c>
      <c r="F58" s="1721">
        <v>18237</v>
      </c>
      <c r="G58" s="1746">
        <f t="shared" si="4"/>
        <v>60.79</v>
      </c>
    </row>
    <row r="59" spans="1:7" s="43" customFormat="1" ht="26.1" customHeight="1" x14ac:dyDescent="0.25">
      <c r="A59" s="203"/>
      <c r="B59" s="1755"/>
      <c r="C59" s="1774" t="s">
        <v>187</v>
      </c>
      <c r="D59" s="1720">
        <v>8000</v>
      </c>
      <c r="E59" s="1721">
        <v>8000</v>
      </c>
      <c r="F59" s="1721">
        <v>7839</v>
      </c>
      <c r="G59" s="1746">
        <f t="shared" si="4"/>
        <v>97.987500000000011</v>
      </c>
    </row>
    <row r="60" spans="1:7" s="43" customFormat="1" ht="26.1" customHeight="1" x14ac:dyDescent="0.25">
      <c r="A60" s="203"/>
      <c r="B60" s="1755"/>
      <c r="C60" s="1806" t="s">
        <v>550</v>
      </c>
      <c r="D60" s="1716"/>
      <c r="E60" s="1717">
        <v>9412</v>
      </c>
      <c r="F60" s="1717">
        <v>825</v>
      </c>
      <c r="G60" s="1722">
        <f t="shared" si="4"/>
        <v>8.7654058648533795</v>
      </c>
    </row>
    <row r="61" spans="1:7" s="43" customFormat="1" ht="26.1" customHeight="1" x14ac:dyDescent="0.25">
      <c r="A61" s="203"/>
      <c r="B61" s="1755"/>
      <c r="C61" s="1807" t="s">
        <v>357</v>
      </c>
      <c r="D61" s="1716"/>
      <c r="E61" s="1717">
        <v>4000</v>
      </c>
      <c r="F61" s="1717">
        <v>300</v>
      </c>
      <c r="G61" s="1714">
        <f t="shared" si="4"/>
        <v>7.5</v>
      </c>
    </row>
    <row r="62" spans="1:7" ht="26.1" customHeight="1" x14ac:dyDescent="0.25">
      <c r="B62" s="1775" t="s">
        <v>424</v>
      </c>
      <c r="C62" s="1771"/>
      <c r="D62" s="1776"/>
      <c r="E62" s="1763"/>
      <c r="F62" s="1721"/>
      <c r="G62" s="1722"/>
    </row>
    <row r="63" spans="1:7" ht="26.1" customHeight="1" x14ac:dyDescent="0.25">
      <c r="B63" s="1715"/>
      <c r="C63" s="1771" t="s">
        <v>570</v>
      </c>
      <c r="D63" s="1720"/>
      <c r="E63" s="1720">
        <v>8645</v>
      </c>
      <c r="F63" s="1721">
        <v>995</v>
      </c>
      <c r="G63" s="1746">
        <f>+F63/E63*100</f>
        <v>11.509543088490457</v>
      </c>
    </row>
    <row r="64" spans="1:7" ht="26.1" customHeight="1" x14ac:dyDescent="0.25">
      <c r="B64" s="1715"/>
      <c r="C64" s="651" t="s">
        <v>551</v>
      </c>
      <c r="D64" s="1720"/>
      <c r="E64" s="1720">
        <v>1073</v>
      </c>
      <c r="F64" s="1721">
        <v>0</v>
      </c>
      <c r="G64" s="1746">
        <f>+F64/E64*100</f>
        <v>0</v>
      </c>
    </row>
    <row r="65" spans="1:7" s="43" customFormat="1" ht="38.25" customHeight="1" x14ac:dyDescent="0.25">
      <c r="A65" s="107"/>
      <c r="B65" s="1755"/>
      <c r="C65" s="1777" t="s">
        <v>326</v>
      </c>
      <c r="D65" s="1720"/>
      <c r="E65" s="1720">
        <v>4015</v>
      </c>
      <c r="F65" s="1721">
        <v>4014</v>
      </c>
      <c r="G65" s="1762">
        <f>+F65/E65*100</f>
        <v>99.975093399750932</v>
      </c>
    </row>
    <row r="66" spans="1:7" ht="26.1" customHeight="1" x14ac:dyDescent="0.25">
      <c r="B66" s="1775" t="s">
        <v>43</v>
      </c>
      <c r="C66" s="1775"/>
      <c r="D66" s="1717"/>
      <c r="E66" s="1717"/>
      <c r="F66" s="1721"/>
      <c r="G66" s="1762"/>
    </row>
    <row r="67" spans="1:7" ht="26.1" customHeight="1" x14ac:dyDescent="0.25">
      <c r="A67" s="203"/>
      <c r="B67" s="1775"/>
      <c r="C67" s="1771" t="s">
        <v>188</v>
      </c>
      <c r="D67" s="1717">
        <v>26770</v>
      </c>
      <c r="E67" s="1717">
        <v>42354</v>
      </c>
      <c r="F67" s="1721">
        <v>7297</v>
      </c>
      <c r="G67" s="1762">
        <f t="shared" ref="G67:G74" si="5">+F67/E67*100</f>
        <v>17.228597062851208</v>
      </c>
    </row>
    <row r="68" spans="1:7" ht="26.1" customHeight="1" x14ac:dyDescent="0.25">
      <c r="A68" s="203"/>
      <c r="B68" s="1775"/>
      <c r="C68" s="1778" t="s">
        <v>189</v>
      </c>
      <c r="D68" s="1717">
        <v>18000</v>
      </c>
      <c r="E68" s="1717">
        <v>0</v>
      </c>
      <c r="F68" s="1721"/>
      <c r="G68" s="1762"/>
    </row>
    <row r="69" spans="1:7" ht="26.1" customHeight="1" x14ac:dyDescent="0.25">
      <c r="A69" s="203"/>
      <c r="B69" s="1775"/>
      <c r="C69" s="1771" t="s">
        <v>190</v>
      </c>
      <c r="D69" s="1717">
        <v>36000</v>
      </c>
      <c r="E69" s="1717">
        <v>0</v>
      </c>
      <c r="F69" s="1721"/>
      <c r="G69" s="1762"/>
    </row>
    <row r="70" spans="1:7" ht="26.1" customHeight="1" x14ac:dyDescent="0.25">
      <c r="A70" s="203"/>
      <c r="B70" s="1775"/>
      <c r="C70" s="1778" t="s">
        <v>191</v>
      </c>
      <c r="D70" s="1717">
        <v>12000</v>
      </c>
      <c r="E70" s="1717">
        <v>0</v>
      </c>
      <c r="F70" s="1721"/>
      <c r="G70" s="1762"/>
    </row>
    <row r="71" spans="1:7" ht="26.1" customHeight="1" x14ac:dyDescent="0.25">
      <c r="A71" s="203"/>
      <c r="B71" s="1775"/>
      <c r="C71" s="1771" t="s">
        <v>192</v>
      </c>
      <c r="D71" s="1717">
        <v>5800</v>
      </c>
      <c r="E71" s="1717">
        <v>0</v>
      </c>
      <c r="F71" s="1721"/>
      <c r="G71" s="1762"/>
    </row>
    <row r="72" spans="1:7" ht="26.1" customHeight="1" x14ac:dyDescent="0.25">
      <c r="A72" s="203"/>
      <c r="B72" s="1775"/>
      <c r="C72" s="1778" t="s">
        <v>193</v>
      </c>
      <c r="D72" s="1717">
        <v>16000</v>
      </c>
      <c r="E72" s="1717">
        <v>2825</v>
      </c>
      <c r="F72" s="1721">
        <v>0</v>
      </c>
      <c r="G72" s="1762">
        <f t="shared" si="5"/>
        <v>0</v>
      </c>
    </row>
    <row r="73" spans="1:7" ht="26.1" customHeight="1" x14ac:dyDescent="0.25">
      <c r="A73" s="203"/>
      <c r="B73" s="1775"/>
      <c r="C73" s="1771" t="s">
        <v>194</v>
      </c>
      <c r="D73" s="1717">
        <v>2500</v>
      </c>
      <c r="E73" s="1717">
        <v>3619</v>
      </c>
      <c r="F73" s="1721">
        <v>1970</v>
      </c>
      <c r="G73" s="1762">
        <f t="shared" si="5"/>
        <v>54.434926775352309</v>
      </c>
    </row>
    <row r="74" spans="1:7" ht="26.1" customHeight="1" x14ac:dyDescent="0.25">
      <c r="A74" s="203"/>
      <c r="B74" s="1775"/>
      <c r="C74" s="1778" t="s">
        <v>195</v>
      </c>
      <c r="D74" s="1717">
        <v>2500</v>
      </c>
      <c r="E74" s="1717">
        <v>381</v>
      </c>
      <c r="F74" s="1721">
        <v>381</v>
      </c>
      <c r="G74" s="1762">
        <f t="shared" si="5"/>
        <v>100</v>
      </c>
    </row>
    <row r="75" spans="1:7" s="430" customFormat="1" ht="26.1" customHeight="1" x14ac:dyDescent="0.25">
      <c r="A75" s="203"/>
      <c r="B75" s="1755"/>
      <c r="C75" s="1777" t="s">
        <v>440</v>
      </c>
      <c r="D75" s="1720"/>
      <c r="E75" s="1721">
        <v>418</v>
      </c>
      <c r="F75" s="1721">
        <v>39</v>
      </c>
      <c r="G75" s="1762">
        <f>+F75/E75*100</f>
        <v>9.330143540669857</v>
      </c>
    </row>
    <row r="76" spans="1:7" ht="26.1" customHeight="1" x14ac:dyDescent="0.25">
      <c r="B76" s="1779" t="s">
        <v>72</v>
      </c>
      <c r="C76" s="1780"/>
      <c r="D76" s="1716"/>
      <c r="E76" s="1716"/>
      <c r="F76" s="1717"/>
      <c r="G76" s="1746"/>
    </row>
    <row r="77" spans="1:7" s="430" customFormat="1" ht="25.5" customHeight="1" x14ac:dyDescent="0.25">
      <c r="A77" s="203"/>
      <c r="B77" s="1755"/>
      <c r="C77" s="1784" t="s">
        <v>1426</v>
      </c>
      <c r="D77" s="1717"/>
      <c r="E77" s="1716">
        <v>29762</v>
      </c>
      <c r="F77" s="1781">
        <v>28537</v>
      </c>
      <c r="G77" s="1746">
        <f>+F77/E77*100</f>
        <v>95.884013171157861</v>
      </c>
    </row>
    <row r="78" spans="1:7" s="430" customFormat="1" ht="25.5" customHeight="1" x14ac:dyDescent="0.25">
      <c r="A78" s="203"/>
      <c r="B78" s="1755"/>
      <c r="C78" s="267" t="s">
        <v>553</v>
      </c>
      <c r="D78" s="1717"/>
      <c r="E78" s="1716">
        <v>8000</v>
      </c>
      <c r="F78" s="1781">
        <v>3162</v>
      </c>
      <c r="G78" s="1746">
        <f>+F78/E78*100</f>
        <v>39.524999999999999</v>
      </c>
    </row>
    <row r="79" spans="1:7" s="430" customFormat="1" ht="25.5" customHeight="1" x14ac:dyDescent="0.25">
      <c r="A79" s="522"/>
      <c r="B79" s="1755"/>
      <c r="C79" s="1784" t="s">
        <v>653</v>
      </c>
      <c r="D79" s="1717"/>
      <c r="E79" s="1716">
        <v>2598337</v>
      </c>
      <c r="F79" s="1781">
        <v>354990</v>
      </c>
      <c r="G79" s="1746">
        <f>+F79/E79*100</f>
        <v>13.662200091827964</v>
      </c>
    </row>
    <row r="80" spans="1:7" ht="25.5" customHeight="1" x14ac:dyDescent="0.25">
      <c r="A80" s="203"/>
      <c r="B80" s="1755"/>
      <c r="C80" s="1782" t="s">
        <v>28</v>
      </c>
      <c r="D80" s="1717"/>
      <c r="E80" s="1717">
        <v>6884</v>
      </c>
      <c r="F80" s="1717"/>
      <c r="G80" s="1746">
        <f t="shared" ref="G80:G88" si="6">+F80/E80*100</f>
        <v>0</v>
      </c>
    </row>
    <row r="81" spans="1:7" ht="61.5" customHeight="1" x14ac:dyDescent="0.25">
      <c r="A81" s="203"/>
      <c r="B81" s="1755"/>
      <c r="C81" s="1783" t="s">
        <v>442</v>
      </c>
      <c r="D81" s="1717"/>
      <c r="E81" s="1717">
        <v>4160</v>
      </c>
      <c r="F81" s="1781">
        <v>2606</v>
      </c>
      <c r="G81" s="1746">
        <f t="shared" si="6"/>
        <v>62.644230769230766</v>
      </c>
    </row>
    <row r="82" spans="1:7" ht="30.75" customHeight="1" x14ac:dyDescent="0.25">
      <c r="A82" s="203"/>
      <c r="B82" s="1755"/>
      <c r="C82" s="1784" t="s">
        <v>1427</v>
      </c>
      <c r="D82" s="1717"/>
      <c r="E82" s="1717">
        <v>188976</v>
      </c>
      <c r="F82" s="1717"/>
      <c r="G82" s="1746">
        <f t="shared" si="6"/>
        <v>0</v>
      </c>
    </row>
    <row r="83" spans="1:7" ht="25.5" customHeight="1" x14ac:dyDescent="0.25">
      <c r="A83" s="203"/>
      <c r="B83" s="1755"/>
      <c r="C83" s="1808" t="s">
        <v>611</v>
      </c>
      <c r="D83" s="1717"/>
      <c r="E83" s="1717">
        <v>500000</v>
      </c>
      <c r="F83" s="1717"/>
      <c r="G83" s="1746">
        <f t="shared" si="6"/>
        <v>0</v>
      </c>
    </row>
    <row r="84" spans="1:7" s="43" customFormat="1" ht="25.5" customHeight="1" x14ac:dyDescent="0.25">
      <c r="A84" s="203"/>
      <c r="B84" s="1755"/>
      <c r="C84" s="1784" t="s">
        <v>269</v>
      </c>
      <c r="D84" s="1721"/>
      <c r="E84" s="1785">
        <v>75529</v>
      </c>
      <c r="F84" s="1786">
        <v>26616</v>
      </c>
      <c r="G84" s="1722">
        <f t="shared" si="6"/>
        <v>35.239444451799976</v>
      </c>
    </row>
    <row r="85" spans="1:7" ht="25.5" customHeight="1" x14ac:dyDescent="0.25">
      <c r="A85" s="203"/>
      <c r="B85" s="1755"/>
      <c r="C85" s="1784" t="s">
        <v>159</v>
      </c>
      <c r="D85" s="1721"/>
      <c r="E85" s="1785">
        <v>6632</v>
      </c>
      <c r="F85" s="1786">
        <v>300</v>
      </c>
      <c r="G85" s="1722">
        <f t="shared" si="6"/>
        <v>4.5235223160434259</v>
      </c>
    </row>
    <row r="86" spans="1:7" ht="25.5" customHeight="1" x14ac:dyDescent="0.25">
      <c r="A86" s="203"/>
      <c r="B86" s="1755"/>
      <c r="C86" s="1772" t="s">
        <v>552</v>
      </c>
      <c r="D86" s="1721"/>
      <c r="E86" s="1785">
        <v>14300</v>
      </c>
      <c r="F86" s="1786">
        <v>3514</v>
      </c>
      <c r="G86" s="1722">
        <f t="shared" si="6"/>
        <v>24.573426573426573</v>
      </c>
    </row>
    <row r="87" spans="1:7" ht="25.5" customHeight="1" x14ac:dyDescent="0.25">
      <c r="A87" s="203"/>
      <c r="B87" s="1755"/>
      <c r="C87" s="1771" t="s">
        <v>1428</v>
      </c>
      <c r="D87" s="1726">
        <v>30000</v>
      </c>
      <c r="E87" s="1787">
        <v>31905</v>
      </c>
      <c r="F87" s="1788">
        <v>3</v>
      </c>
      <c r="G87" s="1722">
        <f t="shared" si="6"/>
        <v>9.4029149036201215E-3</v>
      </c>
    </row>
    <row r="88" spans="1:7" ht="25.5" customHeight="1" x14ac:dyDescent="0.25">
      <c r="A88" s="203"/>
      <c r="B88" s="1755"/>
      <c r="C88" s="1777" t="s">
        <v>358</v>
      </c>
      <c r="D88" s="1721"/>
      <c r="E88" s="1785">
        <v>27000</v>
      </c>
      <c r="F88" s="1786"/>
      <c r="G88" s="1722">
        <f t="shared" si="6"/>
        <v>0</v>
      </c>
    </row>
    <row r="89" spans="1:7" ht="25.5" customHeight="1" x14ac:dyDescent="0.25">
      <c r="A89" s="203"/>
      <c r="B89" s="1755"/>
      <c r="C89" s="1784" t="s">
        <v>617</v>
      </c>
      <c r="D89" s="1721"/>
      <c r="E89" s="1785">
        <v>1312225</v>
      </c>
      <c r="F89" s="1786"/>
      <c r="G89" s="1722">
        <f t="shared" ref="G89:G114" si="7">+F89/E89*100</f>
        <v>0</v>
      </c>
    </row>
    <row r="90" spans="1:7" ht="25.5" customHeight="1" x14ac:dyDescent="0.25">
      <c r="A90" s="203"/>
      <c r="B90" s="1755"/>
      <c r="C90" s="1784" t="s">
        <v>618</v>
      </c>
      <c r="D90" s="1721"/>
      <c r="E90" s="1785">
        <v>288775</v>
      </c>
      <c r="F90" s="1786"/>
      <c r="G90" s="1722">
        <f t="shared" si="7"/>
        <v>0</v>
      </c>
    </row>
    <row r="91" spans="1:7" ht="25.5" customHeight="1" x14ac:dyDescent="0.25">
      <c r="A91" s="203"/>
      <c r="B91" s="1755"/>
      <c r="C91" s="1777" t="s">
        <v>615</v>
      </c>
      <c r="D91" s="1721"/>
      <c r="E91" s="1785">
        <v>444600</v>
      </c>
      <c r="F91" s="1786"/>
      <c r="G91" s="1722">
        <f t="shared" si="7"/>
        <v>0</v>
      </c>
    </row>
    <row r="92" spans="1:7" ht="25.5" customHeight="1" x14ac:dyDescent="0.25">
      <c r="A92" s="203"/>
      <c r="B92" s="1755"/>
      <c r="C92" s="1789" t="s">
        <v>602</v>
      </c>
      <c r="D92" s="1726"/>
      <c r="E92" s="1787">
        <v>724668</v>
      </c>
      <c r="F92" s="1788"/>
      <c r="G92" s="1722">
        <f t="shared" si="7"/>
        <v>0</v>
      </c>
    </row>
    <row r="93" spans="1:7" ht="43.5" customHeight="1" x14ac:dyDescent="0.25">
      <c r="A93" s="203"/>
      <c r="B93" s="1755"/>
      <c r="C93" s="1790" t="s">
        <v>607</v>
      </c>
      <c r="D93" s="1721"/>
      <c r="E93" s="1785">
        <v>167457</v>
      </c>
      <c r="F93" s="1786"/>
      <c r="G93" s="1722">
        <f t="shared" si="7"/>
        <v>0</v>
      </c>
    </row>
    <row r="94" spans="1:7" ht="25.5" customHeight="1" x14ac:dyDescent="0.25">
      <c r="A94" s="203"/>
      <c r="B94" s="1755"/>
      <c r="C94" s="1789" t="s">
        <v>616</v>
      </c>
      <c r="D94" s="1721"/>
      <c r="E94" s="1785">
        <v>564000</v>
      </c>
      <c r="F94" s="1786">
        <v>9822</v>
      </c>
      <c r="G94" s="1722">
        <f t="shared" si="7"/>
        <v>1.7414893617021274</v>
      </c>
    </row>
    <row r="95" spans="1:7" ht="25.5" customHeight="1" x14ac:dyDescent="0.25">
      <c r="A95" s="203"/>
      <c r="B95" s="1755"/>
      <c r="C95" s="1790" t="s">
        <v>598</v>
      </c>
      <c r="D95" s="1721"/>
      <c r="E95" s="1785">
        <v>134748</v>
      </c>
      <c r="F95" s="1786">
        <v>3748</v>
      </c>
      <c r="G95" s="1722">
        <f t="shared" si="7"/>
        <v>2.7814884079912132</v>
      </c>
    </row>
    <row r="96" spans="1:7" ht="45" customHeight="1" x14ac:dyDescent="0.25">
      <c r="A96" s="203"/>
      <c r="B96" s="1755"/>
      <c r="C96" s="1790" t="s">
        <v>605</v>
      </c>
      <c r="D96" s="1721"/>
      <c r="E96" s="1785">
        <v>28000</v>
      </c>
      <c r="F96" s="1786"/>
      <c r="G96" s="1722">
        <f t="shared" si="7"/>
        <v>0</v>
      </c>
    </row>
    <row r="97" spans="1:7" ht="25.5" customHeight="1" x14ac:dyDescent="0.25">
      <c r="A97" s="203"/>
      <c r="B97" s="1755"/>
      <c r="C97" s="1790" t="s">
        <v>633</v>
      </c>
      <c r="D97" s="1721"/>
      <c r="E97" s="1785">
        <v>254747</v>
      </c>
      <c r="F97" s="1786">
        <v>6006</v>
      </c>
      <c r="G97" s="1722">
        <f t="shared" si="7"/>
        <v>2.3576332596654721</v>
      </c>
    </row>
    <row r="98" spans="1:7" ht="45.75" customHeight="1" x14ac:dyDescent="0.25">
      <c r="A98" s="203"/>
      <c r="B98" s="1755"/>
      <c r="C98" s="1790" t="s">
        <v>599</v>
      </c>
      <c r="D98" s="1721"/>
      <c r="E98" s="1785">
        <v>145514</v>
      </c>
      <c r="F98" s="1786">
        <v>3712</v>
      </c>
      <c r="G98" s="1722">
        <f t="shared" si="7"/>
        <v>2.5509572962051763</v>
      </c>
    </row>
    <row r="99" spans="1:7" ht="30.75" customHeight="1" x14ac:dyDescent="0.25">
      <c r="A99" s="203"/>
      <c r="B99" s="1755"/>
      <c r="C99" s="1784" t="s">
        <v>623</v>
      </c>
      <c r="D99" s="1726"/>
      <c r="E99" s="1787">
        <v>651470</v>
      </c>
      <c r="F99" s="1788">
        <v>1991</v>
      </c>
      <c r="G99" s="1722">
        <f t="shared" si="7"/>
        <v>0.30561652877338941</v>
      </c>
    </row>
    <row r="100" spans="1:7" ht="47.25" customHeight="1" x14ac:dyDescent="0.25">
      <c r="A100" s="203"/>
      <c r="B100" s="1755"/>
      <c r="C100" s="1790" t="s">
        <v>634</v>
      </c>
      <c r="D100" s="1721"/>
      <c r="E100" s="1785">
        <v>144780</v>
      </c>
      <c r="F100" s="1786"/>
      <c r="G100" s="1722">
        <f t="shared" si="7"/>
        <v>0</v>
      </c>
    </row>
    <row r="101" spans="1:7" ht="25.5" customHeight="1" x14ac:dyDescent="0.25">
      <c r="A101" s="203"/>
      <c r="B101" s="1755"/>
      <c r="C101" s="1790" t="s">
        <v>601</v>
      </c>
      <c r="D101" s="1717"/>
      <c r="E101" s="1791">
        <v>989625</v>
      </c>
      <c r="F101" s="1781">
        <v>0</v>
      </c>
      <c r="G101" s="1722">
        <f t="shared" si="7"/>
        <v>0</v>
      </c>
    </row>
    <row r="102" spans="1:7" ht="25.5" customHeight="1" x14ac:dyDescent="0.25">
      <c r="A102" s="203"/>
      <c r="B102" s="1755"/>
      <c r="C102" s="1790" t="s">
        <v>610</v>
      </c>
      <c r="D102" s="1721"/>
      <c r="E102" s="1785">
        <v>919535</v>
      </c>
      <c r="F102" s="1786">
        <v>0</v>
      </c>
      <c r="G102" s="1722">
        <f t="shared" si="7"/>
        <v>0</v>
      </c>
    </row>
    <row r="103" spans="1:7" ht="25.5" customHeight="1" x14ac:dyDescent="0.25">
      <c r="A103" s="203"/>
      <c r="B103" s="1755"/>
      <c r="C103" s="1790" t="s">
        <v>645</v>
      </c>
      <c r="D103" s="1721"/>
      <c r="E103" s="1785">
        <v>206590</v>
      </c>
      <c r="F103" s="1786"/>
      <c r="G103" s="1722">
        <f t="shared" si="7"/>
        <v>0</v>
      </c>
    </row>
    <row r="104" spans="1:7" ht="25.5" customHeight="1" x14ac:dyDescent="0.25">
      <c r="A104" s="203"/>
      <c r="B104" s="1755"/>
      <c r="C104" s="1784" t="s">
        <v>600</v>
      </c>
      <c r="D104" s="1726"/>
      <c r="E104" s="1787">
        <v>576025</v>
      </c>
      <c r="F104" s="1788">
        <v>13068</v>
      </c>
      <c r="G104" s="1746">
        <f t="shared" si="7"/>
        <v>2.2686515342216049</v>
      </c>
    </row>
    <row r="105" spans="1:7" ht="25.5" customHeight="1" x14ac:dyDescent="0.25">
      <c r="A105" s="203"/>
      <c r="B105" s="1755"/>
      <c r="C105" s="1790" t="s">
        <v>606</v>
      </c>
      <c r="D105" s="1721"/>
      <c r="E105" s="1785">
        <v>124004</v>
      </c>
      <c r="F105" s="1786"/>
      <c r="G105" s="1722">
        <f t="shared" si="7"/>
        <v>0</v>
      </c>
    </row>
    <row r="106" spans="1:7" ht="25.5" customHeight="1" x14ac:dyDescent="0.25">
      <c r="A106" s="203"/>
      <c r="B106" s="1755"/>
      <c r="C106" s="1790" t="s">
        <v>628</v>
      </c>
      <c r="D106" s="1717"/>
      <c r="E106" s="1791">
        <v>69819</v>
      </c>
      <c r="F106" s="1781">
        <v>215</v>
      </c>
      <c r="G106" s="1722">
        <f t="shared" si="7"/>
        <v>0.30793909967200905</v>
      </c>
    </row>
    <row r="107" spans="1:7" ht="25.5" customHeight="1" x14ac:dyDescent="0.25">
      <c r="A107" s="203"/>
      <c r="B107" s="1755"/>
      <c r="C107" s="1790" t="s">
        <v>1429</v>
      </c>
      <c r="D107" s="1717"/>
      <c r="E107" s="1791">
        <v>630510</v>
      </c>
      <c r="F107" s="1781"/>
      <c r="G107" s="1722">
        <f t="shared" si="7"/>
        <v>0</v>
      </c>
    </row>
    <row r="108" spans="1:7" ht="25.5" customHeight="1" x14ac:dyDescent="0.25">
      <c r="A108" s="203"/>
      <c r="B108" s="1755"/>
      <c r="C108" s="1792" t="s">
        <v>626</v>
      </c>
      <c r="D108" s="1717"/>
      <c r="E108" s="1791">
        <v>294058</v>
      </c>
      <c r="F108" s="1781"/>
      <c r="G108" s="1722">
        <f t="shared" si="7"/>
        <v>0</v>
      </c>
    </row>
    <row r="109" spans="1:7" ht="25.5" customHeight="1" x14ac:dyDescent="0.25">
      <c r="A109" s="203"/>
      <c r="B109" s="1755"/>
      <c r="C109" s="1792" t="s">
        <v>612</v>
      </c>
      <c r="D109" s="1717"/>
      <c r="E109" s="1791">
        <v>296128</v>
      </c>
      <c r="F109" s="1781"/>
      <c r="G109" s="1722">
        <f t="shared" si="7"/>
        <v>0</v>
      </c>
    </row>
    <row r="110" spans="1:7" ht="25.5" customHeight="1" x14ac:dyDescent="0.25">
      <c r="A110" s="203"/>
      <c r="B110" s="1755"/>
      <c r="C110" s="1790" t="s">
        <v>614</v>
      </c>
      <c r="D110" s="1717"/>
      <c r="E110" s="1791">
        <v>294312</v>
      </c>
      <c r="F110" s="1781"/>
      <c r="G110" s="1722">
        <f t="shared" si="7"/>
        <v>0</v>
      </c>
    </row>
    <row r="111" spans="1:7" ht="25.5" customHeight="1" x14ac:dyDescent="0.25">
      <c r="A111" s="203"/>
      <c r="B111" s="1755"/>
      <c r="C111" s="1792" t="s">
        <v>624</v>
      </c>
      <c r="D111" s="1717"/>
      <c r="E111" s="1791">
        <v>182993</v>
      </c>
      <c r="F111" s="1781"/>
      <c r="G111" s="1722">
        <f t="shared" si="7"/>
        <v>0</v>
      </c>
    </row>
    <row r="112" spans="1:7" ht="30.75" customHeight="1" x14ac:dyDescent="0.25">
      <c r="A112" s="203"/>
      <c r="B112" s="1755"/>
      <c r="C112" s="1792" t="s">
        <v>622</v>
      </c>
      <c r="D112" s="1721"/>
      <c r="E112" s="1785">
        <v>768937</v>
      </c>
      <c r="F112" s="1786"/>
      <c r="G112" s="1722">
        <f t="shared" si="7"/>
        <v>0</v>
      </c>
    </row>
    <row r="113" spans="1:7" ht="47.25" customHeight="1" x14ac:dyDescent="0.25">
      <c r="A113" s="203"/>
      <c r="B113" s="1755"/>
      <c r="C113" s="1790" t="s">
        <v>644</v>
      </c>
      <c r="D113" s="1721"/>
      <c r="E113" s="1785">
        <v>183158</v>
      </c>
      <c r="F113" s="1786"/>
      <c r="G113" s="1722">
        <f t="shared" si="7"/>
        <v>0</v>
      </c>
    </row>
    <row r="114" spans="1:7" ht="25.5" customHeight="1" x14ac:dyDescent="0.25">
      <c r="A114" s="203"/>
      <c r="B114" s="1755"/>
      <c r="C114" s="1792" t="s">
        <v>629</v>
      </c>
      <c r="D114" s="1726"/>
      <c r="E114" s="1787">
        <v>376215</v>
      </c>
      <c r="F114" s="1788"/>
      <c r="G114" s="1746">
        <f t="shared" si="7"/>
        <v>0</v>
      </c>
    </row>
    <row r="115" spans="1:7" ht="26.1" customHeight="1" x14ac:dyDescent="0.25">
      <c r="B115" s="1728"/>
      <c r="C115" s="1749" t="s">
        <v>80</v>
      </c>
      <c r="D115" s="1793">
        <f>SUM(D36:D114)</f>
        <v>670070</v>
      </c>
      <c r="E115" s="1793">
        <f>SUM(E36:E114)</f>
        <v>15329341</v>
      </c>
      <c r="F115" s="1793">
        <f>SUM(F36:F114)</f>
        <v>840903</v>
      </c>
      <c r="G115" s="1794">
        <f>+F115/E115*100</f>
        <v>5.4855782776311122</v>
      </c>
    </row>
    <row r="116" spans="1:7" ht="26.1" customHeight="1" x14ac:dyDescent="0.25">
      <c r="B116" s="1736" t="s">
        <v>388</v>
      </c>
      <c r="C116" s="1751" t="s">
        <v>31</v>
      </c>
      <c r="D116" s="1795">
        <v>0</v>
      </c>
      <c r="E116" s="1713">
        <v>0</v>
      </c>
      <c r="F116" s="1713"/>
      <c r="G116" s="1714"/>
    </row>
    <row r="117" spans="1:7" s="429" customFormat="1" ht="26.1" customHeight="1" thickBot="1" x14ac:dyDescent="0.3">
      <c r="A117" s="107"/>
      <c r="B117" s="1796" t="s">
        <v>609</v>
      </c>
      <c r="C117" s="1797" t="s">
        <v>113</v>
      </c>
      <c r="D117" s="1798">
        <v>20000</v>
      </c>
      <c r="E117" s="1798">
        <v>26346</v>
      </c>
      <c r="F117" s="1798">
        <v>15726</v>
      </c>
      <c r="G117" s="1799">
        <f>+F117/E117*100</f>
        <v>59.690275563652925</v>
      </c>
    </row>
    <row r="118" spans="1:7" ht="26.1" customHeight="1" thickBot="1" x14ac:dyDescent="0.3">
      <c r="B118" s="1800"/>
      <c r="C118" s="1801" t="s">
        <v>328</v>
      </c>
      <c r="D118" s="1802">
        <f>D17+D18+D25+D26+D33+D115+D117+D21+D116</f>
        <v>1498901</v>
      </c>
      <c r="E118" s="1802">
        <f t="shared" ref="E118:F118" si="8">E17+E18+E25+E26+E33+E115+E117+E21+E116</f>
        <v>16244575</v>
      </c>
      <c r="F118" s="1802">
        <f t="shared" si="8"/>
        <v>1636349</v>
      </c>
      <c r="G118" s="1799">
        <f>+F118/E118*100</f>
        <v>10.073202900045091</v>
      </c>
    </row>
    <row r="119" spans="1:7" ht="30.75" customHeight="1" x14ac:dyDescent="0.2">
      <c r="D119" s="43"/>
    </row>
    <row r="120" spans="1:7" ht="15" customHeight="1" x14ac:dyDescent="0.2">
      <c r="D120" s="43"/>
    </row>
    <row r="121" spans="1:7" ht="15" customHeight="1" x14ac:dyDescent="0.2">
      <c r="D121" s="43"/>
    </row>
    <row r="122" spans="1:7" ht="15" customHeight="1" x14ac:dyDescent="0.2">
      <c r="D122" s="43"/>
    </row>
    <row r="123" spans="1:7" ht="15" customHeight="1" x14ac:dyDescent="0.2">
      <c r="D123" s="43"/>
    </row>
    <row r="124" spans="1:7" ht="15" customHeight="1" x14ac:dyDescent="0.2">
      <c r="D124" s="43"/>
    </row>
    <row r="125" spans="1:7" ht="15" customHeight="1" x14ac:dyDescent="0.2">
      <c r="D125" s="43"/>
    </row>
    <row r="126" spans="1:7" ht="15" customHeight="1" x14ac:dyDescent="0.2">
      <c r="D126" s="43"/>
    </row>
    <row r="127" spans="1:7" ht="15" customHeight="1" x14ac:dyDescent="0.2">
      <c r="D127" s="43"/>
    </row>
    <row r="128" spans="1:7" ht="15" customHeight="1" x14ac:dyDescent="0.2">
      <c r="D128" s="43"/>
    </row>
    <row r="129" spans="4:4" ht="15" customHeight="1" x14ac:dyDescent="0.2">
      <c r="D129" s="43"/>
    </row>
    <row r="130" spans="4:4" ht="15" customHeight="1" x14ac:dyDescent="0.2">
      <c r="D130" s="43"/>
    </row>
    <row r="131" spans="4:4" ht="15" customHeight="1" x14ac:dyDescent="0.2">
      <c r="D131" s="43"/>
    </row>
    <row r="132" spans="4:4" ht="15" customHeight="1" x14ac:dyDescent="0.2">
      <c r="D132" s="43"/>
    </row>
    <row r="133" spans="4:4" ht="15" customHeight="1" x14ac:dyDescent="0.2">
      <c r="D133" s="43"/>
    </row>
    <row r="134" spans="4:4" ht="15" customHeight="1" x14ac:dyDescent="0.2">
      <c r="D134" s="43"/>
    </row>
    <row r="135" spans="4:4" ht="15" customHeight="1" x14ac:dyDescent="0.2">
      <c r="D135" s="43"/>
    </row>
    <row r="136" spans="4:4" ht="15" customHeight="1" x14ac:dyDescent="0.2">
      <c r="D136" s="43"/>
    </row>
    <row r="137" spans="4:4" ht="15" customHeight="1" x14ac:dyDescent="0.2">
      <c r="D137" s="43"/>
    </row>
    <row r="138" spans="4:4" ht="15" customHeight="1" x14ac:dyDescent="0.2">
      <c r="D138" s="43"/>
    </row>
    <row r="139" spans="4:4" ht="15" customHeight="1" x14ac:dyDescent="0.2">
      <c r="D139" s="43"/>
    </row>
    <row r="140" spans="4:4" ht="15" customHeight="1" x14ac:dyDescent="0.2">
      <c r="D140" s="43"/>
    </row>
    <row r="141" spans="4:4" ht="15" customHeight="1" x14ac:dyDescent="0.2">
      <c r="D141" s="43"/>
    </row>
    <row r="142" spans="4:4" ht="15" customHeight="1" x14ac:dyDescent="0.2">
      <c r="D142" s="43"/>
    </row>
    <row r="143" spans="4:4" ht="15" customHeight="1" x14ac:dyDescent="0.2">
      <c r="D143" s="43"/>
    </row>
    <row r="144" spans="4:4" ht="15" customHeight="1" x14ac:dyDescent="0.2">
      <c r="D144" s="43"/>
    </row>
    <row r="145" spans="4:4" ht="15" customHeight="1" x14ac:dyDescent="0.2">
      <c r="D145" s="43"/>
    </row>
    <row r="146" spans="4:4" ht="15" customHeight="1" x14ac:dyDescent="0.2">
      <c r="D146" s="43"/>
    </row>
    <row r="147" spans="4:4" ht="15" customHeight="1" x14ac:dyDescent="0.2">
      <c r="D147" s="43"/>
    </row>
    <row r="148" spans="4:4" ht="15" customHeight="1" x14ac:dyDescent="0.2">
      <c r="D148" s="43"/>
    </row>
    <row r="149" spans="4:4" ht="15" customHeight="1" x14ac:dyDescent="0.2">
      <c r="D149" s="43"/>
    </row>
    <row r="150" spans="4:4" ht="15" customHeight="1" x14ac:dyDescent="0.2">
      <c r="D150" s="43"/>
    </row>
    <row r="151" spans="4:4" ht="15" customHeight="1" x14ac:dyDescent="0.2">
      <c r="D151" s="43"/>
    </row>
    <row r="152" spans="4:4" ht="15" customHeight="1" x14ac:dyDescent="0.2">
      <c r="D152" s="43"/>
    </row>
    <row r="153" spans="4:4" ht="15" customHeight="1" x14ac:dyDescent="0.2">
      <c r="D153" s="43"/>
    </row>
    <row r="154" spans="4:4" ht="15" customHeight="1" x14ac:dyDescent="0.2">
      <c r="D154" s="43"/>
    </row>
    <row r="155" spans="4:4" ht="15" customHeight="1" x14ac:dyDescent="0.2">
      <c r="D155" s="43"/>
    </row>
    <row r="156" spans="4:4" ht="15" customHeight="1" x14ac:dyDescent="0.2">
      <c r="D156" s="43"/>
    </row>
    <row r="157" spans="4:4" ht="15" customHeight="1" x14ac:dyDescent="0.2">
      <c r="D157" s="43"/>
    </row>
    <row r="158" spans="4:4" ht="15" customHeight="1" x14ac:dyDescent="0.2">
      <c r="D158" s="43"/>
    </row>
    <row r="159" spans="4:4" ht="15" customHeight="1" x14ac:dyDescent="0.2">
      <c r="D159" s="43"/>
    </row>
    <row r="160" spans="4:4" ht="15" customHeight="1" x14ac:dyDescent="0.2">
      <c r="D160" s="43"/>
    </row>
    <row r="161" spans="4:4" ht="15" customHeight="1" x14ac:dyDescent="0.2">
      <c r="D161" s="43"/>
    </row>
    <row r="162" spans="4:4" ht="15" customHeight="1" x14ac:dyDescent="0.2">
      <c r="D162" s="43"/>
    </row>
    <row r="163" spans="4:4" ht="15" customHeight="1" x14ac:dyDescent="0.2">
      <c r="D163" s="43"/>
    </row>
    <row r="164" spans="4:4" ht="15" customHeight="1" x14ac:dyDescent="0.2">
      <c r="D164" s="43"/>
    </row>
    <row r="165" spans="4:4" ht="15" customHeight="1" x14ac:dyDescent="0.2">
      <c r="D165" s="43"/>
    </row>
    <row r="166" spans="4:4" ht="15" customHeight="1" x14ac:dyDescent="0.2">
      <c r="D166" s="43"/>
    </row>
    <row r="167" spans="4:4" ht="15" customHeight="1" x14ac:dyDescent="0.2">
      <c r="D167" s="43"/>
    </row>
    <row r="168" spans="4:4" ht="15" customHeight="1" x14ac:dyDescent="0.2">
      <c r="D168" s="43"/>
    </row>
    <row r="169" spans="4:4" ht="15" customHeight="1" x14ac:dyDescent="0.2">
      <c r="D169" s="43"/>
    </row>
    <row r="170" spans="4:4" ht="15" customHeight="1" x14ac:dyDescent="0.2">
      <c r="D170" s="43"/>
    </row>
    <row r="171" spans="4:4" ht="15" customHeight="1" x14ac:dyDescent="0.2">
      <c r="D171" s="43"/>
    </row>
    <row r="172" spans="4:4" ht="15" customHeight="1" x14ac:dyDescent="0.2">
      <c r="D172" s="43"/>
    </row>
    <row r="173" spans="4:4" ht="15" customHeight="1" x14ac:dyDescent="0.2">
      <c r="D173" s="43"/>
    </row>
    <row r="174" spans="4:4" ht="15" customHeight="1" x14ac:dyDescent="0.2">
      <c r="D174" s="43"/>
    </row>
    <row r="175" spans="4:4" ht="15" customHeight="1" x14ac:dyDescent="0.2">
      <c r="D175" s="43"/>
    </row>
    <row r="176" spans="4:4" ht="15" customHeight="1" x14ac:dyDescent="0.2">
      <c r="D176" s="43"/>
    </row>
    <row r="177" spans="4:4" ht="15" customHeight="1" x14ac:dyDescent="0.2">
      <c r="D177" s="43"/>
    </row>
    <row r="178" spans="4:4" ht="15" customHeight="1" x14ac:dyDescent="0.2">
      <c r="D178" s="43"/>
    </row>
    <row r="179" spans="4:4" ht="15" customHeight="1" x14ac:dyDescent="0.2">
      <c r="D179" s="43"/>
    </row>
    <row r="180" spans="4:4" ht="15" customHeight="1" x14ac:dyDescent="0.2">
      <c r="D180" s="43"/>
    </row>
    <row r="181" spans="4:4" ht="15" customHeight="1" x14ac:dyDescent="0.2">
      <c r="D181" s="43"/>
    </row>
    <row r="182" spans="4:4" ht="15" customHeight="1" x14ac:dyDescent="0.2">
      <c r="D182" s="43"/>
    </row>
    <row r="183" spans="4:4" ht="15" customHeight="1" x14ac:dyDescent="0.2">
      <c r="D183" s="43"/>
    </row>
    <row r="184" spans="4:4" ht="15" customHeight="1" x14ac:dyDescent="0.2">
      <c r="D184" s="43"/>
    </row>
    <row r="185" spans="4:4" ht="15" customHeight="1" x14ac:dyDescent="0.2">
      <c r="D185" s="43"/>
    </row>
    <row r="186" spans="4:4" ht="15" customHeight="1" x14ac:dyDescent="0.2">
      <c r="D186" s="43"/>
    </row>
    <row r="187" spans="4:4" ht="15" customHeight="1" x14ac:dyDescent="0.2">
      <c r="D187" s="43"/>
    </row>
    <row r="188" spans="4:4" ht="15" customHeight="1" x14ac:dyDescent="0.2">
      <c r="D188" s="43"/>
    </row>
    <row r="189" spans="4:4" ht="15" customHeight="1" x14ac:dyDescent="0.2">
      <c r="D189" s="43"/>
    </row>
    <row r="190" spans="4:4" ht="15" customHeight="1" x14ac:dyDescent="0.2">
      <c r="D190" s="43"/>
    </row>
    <row r="191" spans="4:4" ht="15" customHeight="1" x14ac:dyDescent="0.2">
      <c r="D191" s="43"/>
    </row>
    <row r="192" spans="4:4" ht="15" customHeight="1" x14ac:dyDescent="0.2">
      <c r="D192" s="43"/>
    </row>
    <row r="193" spans="4:4" ht="15" customHeight="1" x14ac:dyDescent="0.2">
      <c r="D193" s="43"/>
    </row>
    <row r="194" spans="4:4" ht="15" customHeight="1" x14ac:dyDescent="0.2">
      <c r="D194" s="43"/>
    </row>
    <row r="195" spans="4:4" ht="15" customHeight="1" x14ac:dyDescent="0.2">
      <c r="D195" s="43"/>
    </row>
    <row r="196" spans="4:4" ht="15" customHeight="1" x14ac:dyDescent="0.2">
      <c r="D196" s="43"/>
    </row>
    <row r="197" spans="4:4" ht="15" customHeight="1" x14ac:dyDescent="0.2">
      <c r="D197" s="43"/>
    </row>
    <row r="198" spans="4:4" ht="15" customHeight="1" x14ac:dyDescent="0.2">
      <c r="D198" s="43"/>
    </row>
    <row r="199" spans="4:4" ht="15" customHeight="1" x14ac:dyDescent="0.2">
      <c r="D199" s="43"/>
    </row>
    <row r="200" spans="4:4" ht="15" customHeight="1" x14ac:dyDescent="0.2">
      <c r="D200" s="43"/>
    </row>
    <row r="201" spans="4:4" ht="15" customHeight="1" x14ac:dyDescent="0.2">
      <c r="D201" s="43"/>
    </row>
    <row r="202" spans="4:4" ht="15" customHeight="1" x14ac:dyDescent="0.2">
      <c r="D202" s="43"/>
    </row>
    <row r="203" spans="4:4" ht="15" customHeight="1" x14ac:dyDescent="0.2">
      <c r="D203" s="43"/>
    </row>
    <row r="204" spans="4:4" ht="15" customHeight="1" x14ac:dyDescent="0.2">
      <c r="D204" s="43"/>
    </row>
    <row r="205" spans="4:4" ht="15" customHeight="1" x14ac:dyDescent="0.2">
      <c r="D205" s="43"/>
    </row>
    <row r="206" spans="4:4" ht="15" customHeight="1" x14ac:dyDescent="0.2">
      <c r="D206" s="43"/>
    </row>
    <row r="207" spans="4:4" ht="15" customHeight="1" x14ac:dyDescent="0.2">
      <c r="D207" s="43"/>
    </row>
    <row r="208" spans="4:4" ht="15" customHeight="1" x14ac:dyDescent="0.2">
      <c r="D208" s="43"/>
    </row>
    <row r="209" spans="4:4" ht="15" customHeight="1" x14ac:dyDescent="0.2">
      <c r="D209" s="43"/>
    </row>
    <row r="210" spans="4:4" ht="15" customHeight="1" x14ac:dyDescent="0.2">
      <c r="D210" s="43"/>
    </row>
    <row r="211" spans="4:4" ht="15" customHeight="1" x14ac:dyDescent="0.2">
      <c r="D211" s="43"/>
    </row>
    <row r="212" spans="4:4" ht="15" customHeight="1" x14ac:dyDescent="0.2">
      <c r="D212" s="43"/>
    </row>
    <row r="213" spans="4:4" ht="15" customHeight="1" x14ac:dyDescent="0.2">
      <c r="D213" s="43"/>
    </row>
    <row r="214" spans="4:4" ht="15" customHeight="1" x14ac:dyDescent="0.2">
      <c r="D214" s="43"/>
    </row>
    <row r="215" spans="4:4" ht="15" customHeight="1" x14ac:dyDescent="0.2">
      <c r="D215" s="43"/>
    </row>
    <row r="216" spans="4:4" ht="15" customHeight="1" x14ac:dyDescent="0.2">
      <c r="D216" s="43"/>
    </row>
    <row r="217" spans="4:4" ht="15" customHeight="1" x14ac:dyDescent="0.2">
      <c r="D217" s="43"/>
    </row>
    <row r="218" spans="4:4" ht="15" customHeight="1" x14ac:dyDescent="0.2">
      <c r="D218" s="43"/>
    </row>
    <row r="219" spans="4:4" ht="15" customHeight="1" x14ac:dyDescent="0.2">
      <c r="D219" s="43"/>
    </row>
    <row r="220" spans="4:4" ht="15" customHeight="1" x14ac:dyDescent="0.2">
      <c r="D220" s="43"/>
    </row>
    <row r="221" spans="4:4" ht="15" customHeight="1" x14ac:dyDescent="0.2">
      <c r="D221" s="43"/>
    </row>
    <row r="222" spans="4:4" ht="15" customHeight="1" x14ac:dyDescent="0.2">
      <c r="D222" s="43"/>
    </row>
    <row r="223" spans="4:4" ht="15" customHeight="1" x14ac:dyDescent="0.2">
      <c r="D223" s="43"/>
    </row>
    <row r="224" spans="4:4" ht="15" customHeight="1" x14ac:dyDescent="0.2">
      <c r="D224" s="43"/>
    </row>
    <row r="225" spans="4:4" ht="15" customHeight="1" x14ac:dyDescent="0.2">
      <c r="D225" s="43"/>
    </row>
    <row r="226" spans="4:4" ht="15" customHeight="1" x14ac:dyDescent="0.2">
      <c r="D226" s="43"/>
    </row>
    <row r="227" spans="4:4" ht="15" customHeight="1" x14ac:dyDescent="0.2">
      <c r="D227" s="43"/>
    </row>
    <row r="228" spans="4:4" ht="15" customHeight="1" x14ac:dyDescent="0.2">
      <c r="D228" s="43"/>
    </row>
    <row r="229" spans="4:4" ht="15" customHeight="1" x14ac:dyDescent="0.2">
      <c r="D229" s="43"/>
    </row>
    <row r="230" spans="4:4" ht="15" customHeight="1" x14ac:dyDescent="0.2">
      <c r="D230" s="43"/>
    </row>
    <row r="231" spans="4:4" ht="15" customHeight="1" x14ac:dyDescent="0.2">
      <c r="D231" s="43"/>
    </row>
    <row r="232" spans="4:4" ht="15" customHeight="1" x14ac:dyDescent="0.2">
      <c r="D232" s="43"/>
    </row>
    <row r="233" spans="4:4" ht="15" customHeight="1" x14ac:dyDescent="0.2">
      <c r="D233" s="43"/>
    </row>
    <row r="234" spans="4:4" ht="15" customHeight="1" x14ac:dyDescent="0.2">
      <c r="D234" s="43"/>
    </row>
    <row r="235" spans="4:4" ht="15" customHeight="1" x14ac:dyDescent="0.2">
      <c r="D235" s="43"/>
    </row>
    <row r="236" spans="4:4" ht="15" customHeight="1" x14ac:dyDescent="0.2">
      <c r="D236" s="43"/>
    </row>
    <row r="237" spans="4:4" ht="15" customHeight="1" x14ac:dyDescent="0.2">
      <c r="D237" s="43"/>
    </row>
    <row r="238" spans="4:4" ht="15" customHeight="1" x14ac:dyDescent="0.2">
      <c r="D238" s="43"/>
    </row>
    <row r="239" spans="4:4" ht="15" customHeight="1" x14ac:dyDescent="0.2">
      <c r="D239" s="43"/>
    </row>
    <row r="240" spans="4:4" ht="15" customHeight="1" x14ac:dyDescent="0.2">
      <c r="D240" s="43"/>
    </row>
    <row r="241" spans="4:4" ht="15" customHeight="1" x14ac:dyDescent="0.2">
      <c r="D241" s="43"/>
    </row>
    <row r="242" spans="4:4" ht="15" customHeight="1" x14ac:dyDescent="0.2">
      <c r="D242" s="43"/>
    </row>
    <row r="243" spans="4:4" ht="15" customHeight="1" x14ac:dyDescent="0.2">
      <c r="D243" s="43"/>
    </row>
    <row r="244" spans="4:4" ht="15" customHeight="1" x14ac:dyDescent="0.2">
      <c r="D244" s="43"/>
    </row>
    <row r="245" spans="4:4" ht="15" customHeight="1" x14ac:dyDescent="0.2">
      <c r="D245" s="43"/>
    </row>
    <row r="246" spans="4:4" ht="15" customHeight="1" x14ac:dyDescent="0.2">
      <c r="D246" s="43"/>
    </row>
    <row r="247" spans="4:4" ht="15" customHeight="1" x14ac:dyDescent="0.2">
      <c r="D247" s="43"/>
    </row>
    <row r="248" spans="4:4" ht="15" customHeight="1" x14ac:dyDescent="0.2">
      <c r="D248" s="43"/>
    </row>
    <row r="249" spans="4:4" ht="15" customHeight="1" x14ac:dyDescent="0.2">
      <c r="D249" s="43"/>
    </row>
    <row r="250" spans="4:4" ht="15" customHeight="1" x14ac:dyDescent="0.2">
      <c r="D250" s="43"/>
    </row>
    <row r="251" spans="4:4" ht="15" customHeight="1" x14ac:dyDescent="0.2">
      <c r="D251" s="43"/>
    </row>
    <row r="252" spans="4:4" ht="15" customHeight="1" x14ac:dyDescent="0.2">
      <c r="D252" s="43"/>
    </row>
    <row r="253" spans="4:4" ht="15" customHeight="1" x14ac:dyDescent="0.2">
      <c r="D253" s="43"/>
    </row>
    <row r="254" spans="4:4" ht="15" customHeight="1" x14ac:dyDescent="0.2">
      <c r="D254" s="43"/>
    </row>
    <row r="255" spans="4:4" ht="15" customHeight="1" x14ac:dyDescent="0.2">
      <c r="D255" s="43"/>
    </row>
    <row r="256" spans="4:4" ht="15" customHeight="1" x14ac:dyDescent="0.2">
      <c r="D256" s="43"/>
    </row>
    <row r="257" spans="4:4" ht="15" customHeight="1" x14ac:dyDescent="0.2">
      <c r="D257" s="43"/>
    </row>
    <row r="258" spans="4:4" ht="15" customHeight="1" x14ac:dyDescent="0.2">
      <c r="D258" s="43"/>
    </row>
    <row r="259" spans="4:4" ht="15" customHeight="1" x14ac:dyDescent="0.2">
      <c r="D259" s="43"/>
    </row>
    <row r="260" spans="4:4" ht="15" customHeight="1" x14ac:dyDescent="0.2">
      <c r="D260" s="43"/>
    </row>
    <row r="261" spans="4:4" ht="15" customHeight="1" x14ac:dyDescent="0.2">
      <c r="D261" s="43"/>
    </row>
    <row r="262" spans="4:4" ht="15" customHeight="1" x14ac:dyDescent="0.2">
      <c r="D262" s="43"/>
    </row>
    <row r="263" spans="4:4" ht="15" customHeight="1" x14ac:dyDescent="0.2">
      <c r="D263" s="43"/>
    </row>
    <row r="264" spans="4:4" ht="15" customHeight="1" x14ac:dyDescent="0.2">
      <c r="D264" s="43"/>
    </row>
    <row r="265" spans="4:4" ht="15" customHeight="1" x14ac:dyDescent="0.2">
      <c r="D265" s="43"/>
    </row>
    <row r="266" spans="4:4" ht="15" customHeight="1" x14ac:dyDescent="0.2">
      <c r="D266" s="43"/>
    </row>
    <row r="267" spans="4:4" ht="15" customHeight="1" x14ac:dyDescent="0.2">
      <c r="D267" s="43"/>
    </row>
    <row r="268" spans="4:4" ht="15" customHeight="1" x14ac:dyDescent="0.2">
      <c r="D268" s="43"/>
    </row>
    <row r="269" spans="4:4" ht="15" customHeight="1" x14ac:dyDescent="0.2">
      <c r="D269" s="43"/>
    </row>
    <row r="270" spans="4:4" ht="15" customHeight="1" x14ac:dyDescent="0.2">
      <c r="D270" s="43"/>
    </row>
    <row r="271" spans="4:4" ht="15" customHeight="1" x14ac:dyDescent="0.2">
      <c r="D271" s="43"/>
    </row>
    <row r="272" spans="4:4" ht="15" customHeight="1" x14ac:dyDescent="0.2">
      <c r="D272" s="43"/>
    </row>
    <row r="273" spans="4:4" ht="15" customHeight="1" x14ac:dyDescent="0.2">
      <c r="D273" s="43"/>
    </row>
    <row r="274" spans="4:4" ht="15" customHeight="1" x14ac:dyDescent="0.2">
      <c r="D274" s="43"/>
    </row>
    <row r="275" spans="4:4" ht="15" customHeight="1" x14ac:dyDescent="0.2">
      <c r="D275" s="43"/>
    </row>
    <row r="276" spans="4:4" ht="15" customHeight="1" x14ac:dyDescent="0.2">
      <c r="D276" s="43"/>
    </row>
    <row r="277" spans="4:4" ht="15" customHeight="1" x14ac:dyDescent="0.2">
      <c r="D277" s="43"/>
    </row>
    <row r="278" spans="4:4" ht="15" customHeight="1" x14ac:dyDescent="0.2">
      <c r="D278" s="43"/>
    </row>
    <row r="279" spans="4:4" ht="15" customHeight="1" x14ac:dyDescent="0.2">
      <c r="D279" s="43"/>
    </row>
    <row r="280" spans="4:4" ht="15" customHeight="1" x14ac:dyDescent="0.2">
      <c r="D280" s="43"/>
    </row>
    <row r="281" spans="4:4" ht="15" customHeight="1" x14ac:dyDescent="0.2">
      <c r="D281" s="43"/>
    </row>
    <row r="282" spans="4:4" ht="15" customHeight="1" x14ac:dyDescent="0.2">
      <c r="D282" s="43"/>
    </row>
    <row r="283" spans="4:4" ht="15" customHeight="1" x14ac:dyDescent="0.2">
      <c r="D283" s="43"/>
    </row>
    <row r="284" spans="4:4" ht="15" customHeight="1" x14ac:dyDescent="0.2">
      <c r="D284" s="43"/>
    </row>
    <row r="285" spans="4:4" ht="15" customHeight="1" x14ac:dyDescent="0.2">
      <c r="D285" s="43"/>
    </row>
    <row r="286" spans="4:4" ht="15" customHeight="1" x14ac:dyDescent="0.2">
      <c r="D286" s="43"/>
    </row>
    <row r="287" spans="4:4" ht="15" customHeight="1" x14ac:dyDescent="0.2">
      <c r="D287" s="43"/>
    </row>
    <row r="288" spans="4:4" ht="15" customHeight="1" x14ac:dyDescent="0.2">
      <c r="D288" s="43"/>
    </row>
    <row r="289" spans="4:4" ht="15" customHeight="1" x14ac:dyDescent="0.2">
      <c r="D289" s="43"/>
    </row>
    <row r="290" spans="4:4" ht="15" customHeight="1" x14ac:dyDescent="0.2">
      <c r="D290" s="43"/>
    </row>
    <row r="291" spans="4:4" ht="15" customHeight="1" x14ac:dyDescent="0.2">
      <c r="D291" s="43"/>
    </row>
    <row r="292" spans="4:4" ht="15" customHeight="1" x14ac:dyDescent="0.2">
      <c r="D292" s="43"/>
    </row>
    <row r="293" spans="4:4" ht="15" customHeight="1" x14ac:dyDescent="0.2">
      <c r="D293" s="43"/>
    </row>
    <row r="294" spans="4:4" ht="15" customHeight="1" x14ac:dyDescent="0.2">
      <c r="D294" s="43"/>
    </row>
    <row r="295" spans="4:4" ht="15" customHeight="1" x14ac:dyDescent="0.2">
      <c r="D295" s="43"/>
    </row>
    <row r="296" spans="4:4" ht="15" customHeight="1" x14ac:dyDescent="0.2">
      <c r="D296" s="43"/>
    </row>
    <row r="297" spans="4:4" ht="15" customHeight="1" x14ac:dyDescent="0.2">
      <c r="D297" s="43"/>
    </row>
    <row r="298" spans="4:4" ht="15" customHeight="1" x14ac:dyDescent="0.2">
      <c r="D298" s="43"/>
    </row>
    <row r="299" spans="4:4" ht="15" customHeight="1" x14ac:dyDescent="0.2">
      <c r="D299" s="43"/>
    </row>
    <row r="300" spans="4:4" ht="15" customHeight="1" x14ac:dyDescent="0.2">
      <c r="D300" s="43"/>
    </row>
    <row r="301" spans="4:4" ht="15" customHeight="1" x14ac:dyDescent="0.2">
      <c r="D301" s="43"/>
    </row>
    <row r="302" spans="4:4" ht="15" customHeight="1" x14ac:dyDescent="0.2">
      <c r="D302" s="43"/>
    </row>
    <row r="303" spans="4:4" ht="15" customHeight="1" x14ac:dyDescent="0.2">
      <c r="D303" s="43"/>
    </row>
    <row r="304" spans="4:4" ht="15" customHeight="1" x14ac:dyDescent="0.2">
      <c r="D304" s="43"/>
    </row>
    <row r="305" spans="4:4" ht="15" customHeight="1" x14ac:dyDescent="0.2">
      <c r="D305" s="43"/>
    </row>
    <row r="306" spans="4:4" ht="15" customHeight="1" x14ac:dyDescent="0.2">
      <c r="D306" s="43"/>
    </row>
    <row r="307" spans="4:4" ht="15" customHeight="1" x14ac:dyDescent="0.2">
      <c r="D307" s="43"/>
    </row>
    <row r="308" spans="4:4" ht="15" customHeight="1" x14ac:dyDescent="0.2">
      <c r="D308" s="43"/>
    </row>
    <row r="309" spans="4:4" ht="15" customHeight="1" x14ac:dyDescent="0.2">
      <c r="D309" s="43"/>
    </row>
    <row r="310" spans="4:4" ht="15" customHeight="1" x14ac:dyDescent="0.2">
      <c r="D310" s="43"/>
    </row>
    <row r="311" spans="4:4" ht="15" customHeight="1" x14ac:dyDescent="0.2">
      <c r="D311" s="43"/>
    </row>
    <row r="312" spans="4:4" ht="15" customHeight="1" x14ac:dyDescent="0.2">
      <c r="D312" s="43"/>
    </row>
    <row r="313" spans="4:4" ht="15" customHeight="1" x14ac:dyDescent="0.2">
      <c r="D313" s="43"/>
    </row>
    <row r="314" spans="4:4" ht="15" customHeight="1" x14ac:dyDescent="0.2">
      <c r="D314" s="43"/>
    </row>
    <row r="315" spans="4:4" ht="15" customHeight="1" x14ac:dyDescent="0.2">
      <c r="D315" s="43"/>
    </row>
    <row r="316" spans="4:4" ht="15" customHeight="1" x14ac:dyDescent="0.2">
      <c r="D316" s="43"/>
    </row>
    <row r="317" spans="4:4" ht="15" customHeight="1" x14ac:dyDescent="0.2">
      <c r="D317" s="43"/>
    </row>
    <row r="318" spans="4:4" ht="15" customHeight="1" x14ac:dyDescent="0.2">
      <c r="D318" s="43"/>
    </row>
    <row r="319" spans="4:4" ht="15" customHeight="1" x14ac:dyDescent="0.2">
      <c r="D319" s="43"/>
    </row>
    <row r="320" spans="4:4" ht="15" customHeight="1" x14ac:dyDescent="0.2">
      <c r="D320" s="43"/>
    </row>
    <row r="321" spans="4:4" ht="15" customHeight="1" x14ac:dyDescent="0.2">
      <c r="D321" s="43"/>
    </row>
    <row r="322" spans="4:4" ht="15" customHeight="1" x14ac:dyDescent="0.2">
      <c r="D322" s="43"/>
    </row>
    <row r="323" spans="4:4" ht="15" customHeight="1" x14ac:dyDescent="0.2">
      <c r="D323" s="43"/>
    </row>
    <row r="324" spans="4:4" ht="15" customHeight="1" x14ac:dyDescent="0.2">
      <c r="D324" s="43"/>
    </row>
    <row r="325" spans="4:4" ht="15" customHeight="1" x14ac:dyDescent="0.2">
      <c r="D325" s="43"/>
    </row>
    <row r="326" spans="4:4" ht="15" customHeight="1" x14ac:dyDescent="0.2">
      <c r="D326" s="43"/>
    </row>
    <row r="327" spans="4:4" ht="15" customHeight="1" x14ac:dyDescent="0.2">
      <c r="D327" s="43"/>
    </row>
    <row r="328" spans="4:4" ht="15" customHeight="1" x14ac:dyDescent="0.2">
      <c r="D328" s="43"/>
    </row>
    <row r="329" spans="4:4" ht="15" customHeight="1" x14ac:dyDescent="0.2">
      <c r="D329" s="43"/>
    </row>
    <row r="330" spans="4:4" ht="15" customHeight="1" x14ac:dyDescent="0.2">
      <c r="D330" s="43"/>
    </row>
    <row r="331" spans="4:4" ht="15" customHeight="1" x14ac:dyDescent="0.2">
      <c r="D331" s="43"/>
    </row>
    <row r="332" spans="4:4" ht="15" customHeight="1" x14ac:dyDescent="0.2">
      <c r="D332" s="43"/>
    </row>
    <row r="333" spans="4:4" ht="15" customHeight="1" x14ac:dyDescent="0.2">
      <c r="D333" s="43"/>
    </row>
    <row r="334" spans="4:4" ht="15" customHeight="1" x14ac:dyDescent="0.2">
      <c r="D334" s="43"/>
    </row>
    <row r="335" spans="4:4" ht="15" customHeight="1" x14ac:dyDescent="0.2">
      <c r="D335" s="43"/>
    </row>
    <row r="336" spans="4:4" ht="15" customHeight="1" x14ac:dyDescent="0.2">
      <c r="D336" s="43"/>
    </row>
    <row r="337" spans="4:4" ht="15" customHeight="1" x14ac:dyDescent="0.2">
      <c r="D337" s="43"/>
    </row>
    <row r="338" spans="4:4" ht="15" customHeight="1" x14ac:dyDescent="0.2">
      <c r="D338" s="43"/>
    </row>
    <row r="339" spans="4:4" ht="15" customHeight="1" x14ac:dyDescent="0.2">
      <c r="D339" s="43"/>
    </row>
    <row r="340" spans="4:4" ht="15" customHeight="1" x14ac:dyDescent="0.2">
      <c r="D340" s="43"/>
    </row>
    <row r="341" spans="4:4" ht="15" customHeight="1" x14ac:dyDescent="0.2">
      <c r="D341" s="43"/>
    </row>
    <row r="342" spans="4:4" ht="15" customHeight="1" x14ac:dyDescent="0.2">
      <c r="D342" s="43"/>
    </row>
    <row r="343" spans="4:4" ht="15" customHeight="1" x14ac:dyDescent="0.2">
      <c r="D343" s="43"/>
    </row>
    <row r="344" spans="4:4" ht="15" customHeight="1" x14ac:dyDescent="0.2">
      <c r="D344" s="43"/>
    </row>
    <row r="345" spans="4:4" ht="15" customHeight="1" x14ac:dyDescent="0.2">
      <c r="D345" s="43"/>
    </row>
    <row r="346" spans="4:4" ht="15" customHeight="1" x14ac:dyDescent="0.2">
      <c r="D346" s="43"/>
    </row>
    <row r="347" spans="4:4" ht="15" customHeight="1" x14ac:dyDescent="0.2">
      <c r="D347" s="43"/>
    </row>
    <row r="348" spans="4:4" ht="15" customHeight="1" x14ac:dyDescent="0.2">
      <c r="D348" s="43"/>
    </row>
    <row r="349" spans="4:4" ht="15" customHeight="1" x14ac:dyDescent="0.2">
      <c r="D349" s="43"/>
    </row>
    <row r="350" spans="4:4" ht="15" customHeight="1" x14ac:dyDescent="0.2">
      <c r="D350" s="43"/>
    </row>
    <row r="351" spans="4:4" ht="15" customHeight="1" x14ac:dyDescent="0.2">
      <c r="D351" s="43"/>
    </row>
    <row r="352" spans="4:4" ht="15" customHeight="1" x14ac:dyDescent="0.2">
      <c r="D352" s="43"/>
    </row>
    <row r="353" spans="4:4" ht="15" customHeight="1" x14ac:dyDescent="0.2">
      <c r="D353" s="43"/>
    </row>
    <row r="354" spans="4:4" ht="15" customHeight="1" x14ac:dyDescent="0.2">
      <c r="D354" s="43"/>
    </row>
    <row r="355" spans="4:4" ht="15" customHeight="1" x14ac:dyDescent="0.2">
      <c r="D355" s="43"/>
    </row>
    <row r="356" spans="4:4" ht="15" customHeight="1" x14ac:dyDescent="0.2">
      <c r="D356" s="43"/>
    </row>
    <row r="357" spans="4:4" ht="15" customHeight="1" x14ac:dyDescent="0.2">
      <c r="D357" s="43"/>
    </row>
    <row r="358" spans="4:4" ht="15" customHeight="1" x14ac:dyDescent="0.2">
      <c r="D358" s="43"/>
    </row>
    <row r="359" spans="4:4" ht="15" customHeight="1" x14ac:dyDescent="0.2">
      <c r="D359" s="43"/>
    </row>
    <row r="360" spans="4:4" ht="15" customHeight="1" x14ac:dyDescent="0.2">
      <c r="D360" s="43"/>
    </row>
    <row r="361" spans="4:4" ht="15" customHeight="1" x14ac:dyDescent="0.2">
      <c r="D361" s="43"/>
    </row>
    <row r="362" spans="4:4" ht="15" customHeight="1" x14ac:dyDescent="0.2">
      <c r="D362" s="43"/>
    </row>
    <row r="363" spans="4:4" ht="15" customHeight="1" x14ac:dyDescent="0.2">
      <c r="D363" s="43"/>
    </row>
    <row r="364" spans="4:4" ht="15" customHeight="1" x14ac:dyDescent="0.2">
      <c r="D364" s="43"/>
    </row>
    <row r="365" spans="4:4" ht="15" customHeight="1" x14ac:dyDescent="0.2">
      <c r="D365" s="43"/>
    </row>
    <row r="366" spans="4:4" ht="15" customHeight="1" x14ac:dyDescent="0.2">
      <c r="D366" s="43"/>
    </row>
    <row r="367" spans="4:4" ht="15" customHeight="1" x14ac:dyDescent="0.2">
      <c r="D367" s="43"/>
    </row>
    <row r="368" spans="4:4" ht="15" customHeight="1" x14ac:dyDescent="0.2">
      <c r="D368" s="43"/>
    </row>
    <row r="369" spans="4:4" ht="15" customHeight="1" x14ac:dyDescent="0.2">
      <c r="D369" s="43"/>
    </row>
    <row r="370" spans="4:4" ht="15" customHeight="1" x14ac:dyDescent="0.2">
      <c r="D370" s="43"/>
    </row>
    <row r="371" spans="4:4" ht="15" customHeight="1" x14ac:dyDescent="0.2">
      <c r="D371" s="43"/>
    </row>
    <row r="372" spans="4:4" ht="15" customHeight="1" x14ac:dyDescent="0.2">
      <c r="D372" s="43"/>
    </row>
    <row r="373" spans="4:4" ht="15" customHeight="1" x14ac:dyDescent="0.2">
      <c r="D373" s="43"/>
    </row>
    <row r="374" spans="4:4" ht="15" customHeight="1" x14ac:dyDescent="0.2">
      <c r="D374" s="43"/>
    </row>
    <row r="375" spans="4:4" ht="15" customHeight="1" x14ac:dyDescent="0.2">
      <c r="D375" s="43"/>
    </row>
    <row r="376" spans="4:4" ht="15" customHeight="1" x14ac:dyDescent="0.2">
      <c r="D376" s="43"/>
    </row>
    <row r="377" spans="4:4" ht="15" customHeight="1" x14ac:dyDescent="0.2">
      <c r="D377" s="43"/>
    </row>
    <row r="378" spans="4:4" ht="15" customHeight="1" x14ac:dyDescent="0.2">
      <c r="D378" s="43"/>
    </row>
    <row r="379" spans="4:4" ht="15" customHeight="1" x14ac:dyDescent="0.2">
      <c r="D379" s="43"/>
    </row>
    <row r="380" spans="4:4" ht="15" customHeight="1" x14ac:dyDescent="0.2">
      <c r="D380" s="43"/>
    </row>
    <row r="381" spans="4:4" ht="15" customHeight="1" x14ac:dyDescent="0.2">
      <c r="D381" s="43"/>
    </row>
    <row r="382" spans="4:4" ht="15" customHeight="1" x14ac:dyDescent="0.2">
      <c r="D382" s="43"/>
    </row>
    <row r="383" spans="4:4" ht="15" customHeight="1" x14ac:dyDescent="0.2">
      <c r="D383" s="43"/>
    </row>
    <row r="384" spans="4:4" ht="15" customHeight="1" x14ac:dyDescent="0.2">
      <c r="D384" s="43"/>
    </row>
    <row r="385" spans="4:4" ht="15" customHeight="1" x14ac:dyDescent="0.2">
      <c r="D385" s="43"/>
    </row>
    <row r="386" spans="4:4" ht="15" customHeight="1" x14ac:dyDescent="0.2">
      <c r="D386" s="43"/>
    </row>
    <row r="387" spans="4:4" ht="15" customHeight="1" x14ac:dyDescent="0.2">
      <c r="D387" s="43"/>
    </row>
    <row r="388" spans="4:4" ht="15" customHeight="1" x14ac:dyDescent="0.2">
      <c r="D388" s="43"/>
    </row>
    <row r="389" spans="4:4" ht="15" customHeight="1" x14ac:dyDescent="0.2">
      <c r="D389" s="43"/>
    </row>
    <row r="390" spans="4:4" ht="15" customHeight="1" x14ac:dyDescent="0.2">
      <c r="D390" s="43"/>
    </row>
    <row r="391" spans="4:4" ht="15" customHeight="1" x14ac:dyDescent="0.2">
      <c r="D391" s="43"/>
    </row>
    <row r="392" spans="4:4" ht="15" customHeight="1" x14ac:dyDescent="0.2">
      <c r="D392" s="43"/>
    </row>
    <row r="393" spans="4:4" ht="15" customHeight="1" x14ac:dyDescent="0.2">
      <c r="D393" s="43"/>
    </row>
    <row r="394" spans="4:4" ht="15" customHeight="1" x14ac:dyDescent="0.2">
      <c r="D394" s="43"/>
    </row>
    <row r="395" spans="4:4" ht="15" customHeight="1" x14ac:dyDescent="0.2">
      <c r="D395" s="43"/>
    </row>
    <row r="396" spans="4:4" ht="15" customHeight="1" x14ac:dyDescent="0.2">
      <c r="D396" s="43"/>
    </row>
    <row r="397" spans="4:4" ht="15" customHeight="1" x14ac:dyDescent="0.2">
      <c r="D397" s="43"/>
    </row>
    <row r="398" spans="4:4" ht="15" customHeight="1" x14ac:dyDescent="0.2">
      <c r="D398" s="43"/>
    </row>
    <row r="399" spans="4:4" ht="15" customHeight="1" x14ac:dyDescent="0.2">
      <c r="D399" s="43"/>
    </row>
    <row r="400" spans="4:4" ht="15" customHeight="1" x14ac:dyDescent="0.2">
      <c r="D400" s="43"/>
    </row>
    <row r="401" spans="4:4" ht="15" customHeight="1" x14ac:dyDescent="0.2">
      <c r="D401" s="43"/>
    </row>
    <row r="402" spans="4:4" ht="15" customHeight="1" x14ac:dyDescent="0.2">
      <c r="D402" s="43"/>
    </row>
    <row r="403" spans="4:4" ht="15" customHeight="1" x14ac:dyDescent="0.2">
      <c r="D403" s="43"/>
    </row>
    <row r="404" spans="4:4" ht="15" customHeight="1" x14ac:dyDescent="0.2">
      <c r="D404" s="43"/>
    </row>
    <row r="405" spans="4:4" ht="15" customHeight="1" x14ac:dyDescent="0.2">
      <c r="D405" s="43"/>
    </row>
    <row r="406" spans="4:4" ht="15" customHeight="1" x14ac:dyDescent="0.2">
      <c r="D406" s="43"/>
    </row>
    <row r="407" spans="4:4" ht="15" customHeight="1" x14ac:dyDescent="0.2">
      <c r="D407" s="43"/>
    </row>
    <row r="408" spans="4:4" ht="15" customHeight="1" x14ac:dyDescent="0.2">
      <c r="D408" s="43"/>
    </row>
    <row r="409" spans="4:4" ht="15" customHeight="1" x14ac:dyDescent="0.2">
      <c r="D409" s="43"/>
    </row>
    <row r="410" spans="4:4" ht="15" customHeight="1" x14ac:dyDescent="0.2">
      <c r="D410" s="43"/>
    </row>
    <row r="411" spans="4:4" ht="15" customHeight="1" x14ac:dyDescent="0.2">
      <c r="D411" s="43"/>
    </row>
    <row r="412" spans="4:4" ht="15" customHeight="1" x14ac:dyDescent="0.2">
      <c r="D412" s="43"/>
    </row>
    <row r="413" spans="4:4" ht="15" customHeight="1" x14ac:dyDescent="0.2">
      <c r="D413" s="43"/>
    </row>
    <row r="414" spans="4:4" ht="15" customHeight="1" x14ac:dyDescent="0.2">
      <c r="D414" s="43"/>
    </row>
    <row r="415" spans="4:4" ht="15" customHeight="1" x14ac:dyDescent="0.2">
      <c r="D415" s="43"/>
    </row>
    <row r="416" spans="4:4" ht="15" customHeight="1" x14ac:dyDescent="0.2">
      <c r="D416" s="43"/>
    </row>
    <row r="417" spans="4:4" ht="15" customHeight="1" x14ac:dyDescent="0.2">
      <c r="D417" s="43"/>
    </row>
    <row r="418" spans="4:4" ht="15" customHeight="1" x14ac:dyDescent="0.2">
      <c r="D418" s="43"/>
    </row>
    <row r="419" spans="4:4" ht="15" customHeight="1" x14ac:dyDescent="0.2">
      <c r="D419" s="43"/>
    </row>
    <row r="420" spans="4:4" ht="15" customHeight="1" x14ac:dyDescent="0.2">
      <c r="D420" s="43"/>
    </row>
    <row r="421" spans="4:4" ht="15" customHeight="1" x14ac:dyDescent="0.2">
      <c r="D421" s="43"/>
    </row>
    <row r="422" spans="4:4" ht="15" customHeight="1" x14ac:dyDescent="0.2">
      <c r="D422" s="43"/>
    </row>
    <row r="423" spans="4:4" ht="15" customHeight="1" x14ac:dyDescent="0.2">
      <c r="D423" s="43"/>
    </row>
    <row r="424" spans="4:4" ht="15" customHeight="1" x14ac:dyDescent="0.2">
      <c r="D424" s="43"/>
    </row>
    <row r="425" spans="4:4" ht="15" customHeight="1" x14ac:dyDescent="0.2">
      <c r="D425" s="43"/>
    </row>
    <row r="426" spans="4:4" ht="15" customHeight="1" x14ac:dyDescent="0.2">
      <c r="D426" s="43"/>
    </row>
    <row r="427" spans="4:4" ht="15" customHeight="1" x14ac:dyDescent="0.2">
      <c r="D427" s="43"/>
    </row>
    <row r="428" spans="4:4" ht="15" customHeight="1" x14ac:dyDescent="0.2">
      <c r="D428" s="43"/>
    </row>
    <row r="429" spans="4:4" ht="15" customHeight="1" x14ac:dyDescent="0.2">
      <c r="D429" s="43"/>
    </row>
    <row r="430" spans="4:4" ht="15" customHeight="1" x14ac:dyDescent="0.2">
      <c r="D430" s="43"/>
    </row>
    <row r="431" spans="4:4" ht="15" customHeight="1" x14ac:dyDescent="0.2">
      <c r="D431" s="43"/>
    </row>
    <row r="432" spans="4:4" ht="15" customHeight="1" x14ac:dyDescent="0.2">
      <c r="D432" s="43"/>
    </row>
    <row r="433" spans="4:4" ht="15" customHeight="1" x14ac:dyDescent="0.2">
      <c r="D433" s="43"/>
    </row>
    <row r="434" spans="4:4" ht="15" customHeight="1" x14ac:dyDescent="0.2">
      <c r="D434" s="43"/>
    </row>
    <row r="435" spans="4:4" ht="15" customHeight="1" x14ac:dyDescent="0.2">
      <c r="D435" s="43"/>
    </row>
    <row r="436" spans="4:4" ht="15" customHeight="1" x14ac:dyDescent="0.2">
      <c r="D436" s="43"/>
    </row>
    <row r="437" spans="4:4" ht="15" customHeight="1" x14ac:dyDescent="0.2">
      <c r="D437" s="43"/>
    </row>
    <row r="438" spans="4:4" ht="15" customHeight="1" x14ac:dyDescent="0.2">
      <c r="D438" s="43"/>
    </row>
    <row r="439" spans="4:4" ht="15" customHeight="1" x14ac:dyDescent="0.2">
      <c r="D439" s="43"/>
    </row>
    <row r="440" spans="4:4" ht="15" customHeight="1" x14ac:dyDescent="0.2">
      <c r="D440" s="43"/>
    </row>
    <row r="441" spans="4:4" ht="15" customHeight="1" x14ac:dyDescent="0.2">
      <c r="D441" s="43"/>
    </row>
    <row r="442" spans="4:4" ht="15" customHeight="1" x14ac:dyDescent="0.2">
      <c r="D442" s="43"/>
    </row>
    <row r="443" spans="4:4" ht="15" customHeight="1" x14ac:dyDescent="0.2">
      <c r="D443" s="43"/>
    </row>
    <row r="444" spans="4:4" ht="15" customHeight="1" x14ac:dyDescent="0.2">
      <c r="D444" s="43"/>
    </row>
    <row r="445" spans="4:4" ht="15" customHeight="1" x14ac:dyDescent="0.2">
      <c r="D445" s="43"/>
    </row>
    <row r="446" spans="4:4" ht="15" customHeight="1" x14ac:dyDescent="0.2">
      <c r="D446" s="43"/>
    </row>
    <row r="447" spans="4:4" ht="15" customHeight="1" x14ac:dyDescent="0.2">
      <c r="D447" s="43"/>
    </row>
    <row r="448" spans="4:4" ht="15" customHeight="1" x14ac:dyDescent="0.2">
      <c r="D448" s="43"/>
    </row>
    <row r="449" spans="4:4" ht="15" customHeight="1" x14ac:dyDescent="0.2">
      <c r="D449" s="43"/>
    </row>
    <row r="450" spans="4:4" ht="15" customHeight="1" x14ac:dyDescent="0.2">
      <c r="D450" s="43"/>
    </row>
    <row r="451" spans="4:4" ht="15" customHeight="1" x14ac:dyDescent="0.2">
      <c r="D451" s="43"/>
    </row>
    <row r="452" spans="4:4" ht="15" customHeight="1" x14ac:dyDescent="0.2">
      <c r="D452" s="43"/>
    </row>
    <row r="453" spans="4:4" ht="15" customHeight="1" x14ac:dyDescent="0.2">
      <c r="D453" s="43"/>
    </row>
    <row r="454" spans="4:4" ht="15" customHeight="1" x14ac:dyDescent="0.2">
      <c r="D454" s="43"/>
    </row>
    <row r="455" spans="4:4" ht="15" customHeight="1" x14ac:dyDescent="0.2">
      <c r="D455" s="43"/>
    </row>
    <row r="456" spans="4:4" ht="15" customHeight="1" x14ac:dyDescent="0.2">
      <c r="D456" s="43"/>
    </row>
    <row r="457" spans="4:4" ht="15" customHeight="1" x14ac:dyDescent="0.2">
      <c r="D457" s="43"/>
    </row>
    <row r="458" spans="4:4" ht="15" customHeight="1" x14ac:dyDescent="0.2">
      <c r="D458" s="43"/>
    </row>
    <row r="459" spans="4:4" ht="15" customHeight="1" x14ac:dyDescent="0.2">
      <c r="D459" s="43"/>
    </row>
    <row r="460" spans="4:4" ht="15" customHeight="1" x14ac:dyDescent="0.2">
      <c r="D460" s="43"/>
    </row>
    <row r="461" spans="4:4" ht="15" customHeight="1" x14ac:dyDescent="0.2">
      <c r="D461" s="43"/>
    </row>
    <row r="462" spans="4:4" ht="15" customHeight="1" x14ac:dyDescent="0.2">
      <c r="D462" s="43"/>
    </row>
    <row r="463" spans="4:4" ht="15" customHeight="1" x14ac:dyDescent="0.2">
      <c r="D463" s="43"/>
    </row>
    <row r="464" spans="4:4" ht="15" customHeight="1" x14ac:dyDescent="0.2">
      <c r="D464" s="43"/>
    </row>
    <row r="465" spans="4:4" ht="15" customHeight="1" x14ac:dyDescent="0.2">
      <c r="D465" s="43"/>
    </row>
    <row r="466" spans="4:4" ht="15" customHeight="1" x14ac:dyDescent="0.2">
      <c r="D466" s="43"/>
    </row>
    <row r="467" spans="4:4" ht="15" customHeight="1" x14ac:dyDescent="0.2">
      <c r="D467" s="43"/>
    </row>
    <row r="468" spans="4:4" ht="15" customHeight="1" x14ac:dyDescent="0.2">
      <c r="D468" s="43"/>
    </row>
    <row r="469" spans="4:4" ht="15" customHeight="1" x14ac:dyDescent="0.2">
      <c r="D469" s="43"/>
    </row>
    <row r="470" spans="4:4" ht="15" customHeight="1" x14ac:dyDescent="0.2">
      <c r="D470" s="43"/>
    </row>
    <row r="471" spans="4:4" ht="15" customHeight="1" x14ac:dyDescent="0.2">
      <c r="D471" s="43"/>
    </row>
    <row r="472" spans="4:4" ht="15" customHeight="1" x14ac:dyDescent="0.2">
      <c r="D472" s="43"/>
    </row>
    <row r="473" spans="4:4" ht="15" customHeight="1" x14ac:dyDescent="0.2">
      <c r="D473" s="43"/>
    </row>
    <row r="474" spans="4:4" ht="15" customHeight="1" x14ac:dyDescent="0.2">
      <c r="D474" s="43"/>
    </row>
    <row r="475" spans="4:4" ht="15" customHeight="1" x14ac:dyDescent="0.2">
      <c r="D475" s="43"/>
    </row>
    <row r="476" spans="4:4" ht="15" customHeight="1" x14ac:dyDescent="0.2">
      <c r="D476" s="43"/>
    </row>
    <row r="477" spans="4:4" ht="15" customHeight="1" x14ac:dyDescent="0.2">
      <c r="D477" s="43"/>
    </row>
    <row r="478" spans="4:4" ht="15" customHeight="1" x14ac:dyDescent="0.2">
      <c r="D478" s="43"/>
    </row>
    <row r="479" spans="4:4" ht="15" customHeight="1" x14ac:dyDescent="0.2">
      <c r="D479" s="43"/>
    </row>
    <row r="480" spans="4:4" ht="15" customHeight="1" x14ac:dyDescent="0.2">
      <c r="D480" s="43"/>
    </row>
    <row r="481" spans="4:4" ht="15" customHeight="1" x14ac:dyDescent="0.2">
      <c r="D481" s="43"/>
    </row>
    <row r="482" spans="4:4" ht="15" customHeight="1" x14ac:dyDescent="0.2">
      <c r="D482" s="43"/>
    </row>
    <row r="483" spans="4:4" ht="15" customHeight="1" x14ac:dyDescent="0.2">
      <c r="D483" s="43"/>
    </row>
    <row r="484" spans="4:4" ht="15" customHeight="1" x14ac:dyDescent="0.2">
      <c r="D484" s="43"/>
    </row>
    <row r="485" spans="4:4" ht="15" customHeight="1" x14ac:dyDescent="0.2">
      <c r="D485" s="43"/>
    </row>
    <row r="486" spans="4:4" ht="15" customHeight="1" x14ac:dyDescent="0.2">
      <c r="D486" s="43"/>
    </row>
    <row r="487" spans="4:4" ht="15" customHeight="1" x14ac:dyDescent="0.2">
      <c r="D487" s="43"/>
    </row>
    <row r="488" spans="4:4" ht="15" customHeight="1" x14ac:dyDescent="0.2">
      <c r="D488" s="43"/>
    </row>
    <row r="489" spans="4:4" ht="15" customHeight="1" x14ac:dyDescent="0.2">
      <c r="D489" s="43"/>
    </row>
    <row r="490" spans="4:4" ht="15" customHeight="1" x14ac:dyDescent="0.2">
      <c r="D490" s="43"/>
    </row>
    <row r="491" spans="4:4" ht="15" customHeight="1" x14ac:dyDescent="0.2">
      <c r="D491" s="43"/>
    </row>
    <row r="492" spans="4:4" ht="15" customHeight="1" x14ac:dyDescent="0.2">
      <c r="D492" s="43"/>
    </row>
    <row r="493" spans="4:4" ht="15" customHeight="1" x14ac:dyDescent="0.2">
      <c r="D493" s="43"/>
    </row>
    <row r="494" spans="4:4" ht="15" customHeight="1" x14ac:dyDescent="0.2">
      <c r="D494" s="43"/>
    </row>
    <row r="495" spans="4:4" ht="15" customHeight="1" x14ac:dyDescent="0.2">
      <c r="D495" s="43"/>
    </row>
    <row r="496" spans="4:4" ht="15" customHeight="1" x14ac:dyDescent="0.2">
      <c r="D496" s="43"/>
    </row>
    <row r="497" spans="4:4" ht="15" customHeight="1" x14ac:dyDescent="0.2">
      <c r="D497" s="43"/>
    </row>
    <row r="498" spans="4:4" ht="15" customHeight="1" x14ac:dyDescent="0.2">
      <c r="D498" s="43"/>
    </row>
    <row r="499" spans="4:4" ht="15" customHeight="1" x14ac:dyDescent="0.2">
      <c r="D499" s="43"/>
    </row>
    <row r="500" spans="4:4" ht="15" customHeight="1" x14ac:dyDescent="0.2">
      <c r="D500" s="43"/>
    </row>
    <row r="501" spans="4:4" ht="15" customHeight="1" x14ac:dyDescent="0.2">
      <c r="D501" s="43"/>
    </row>
    <row r="502" spans="4:4" ht="15" customHeight="1" x14ac:dyDescent="0.2">
      <c r="D502" s="43"/>
    </row>
    <row r="503" spans="4:4" ht="15" customHeight="1" x14ac:dyDescent="0.2">
      <c r="D503" s="43"/>
    </row>
    <row r="504" spans="4:4" ht="15" customHeight="1" x14ac:dyDescent="0.2">
      <c r="D504" s="43"/>
    </row>
    <row r="505" spans="4:4" ht="15" customHeight="1" x14ac:dyDescent="0.2">
      <c r="D505" s="43"/>
    </row>
    <row r="506" spans="4:4" ht="15" customHeight="1" x14ac:dyDescent="0.2">
      <c r="D506" s="43"/>
    </row>
    <row r="507" spans="4:4" ht="15" customHeight="1" x14ac:dyDescent="0.2">
      <c r="D507" s="43"/>
    </row>
    <row r="508" spans="4:4" ht="15" customHeight="1" x14ac:dyDescent="0.2">
      <c r="D508" s="43"/>
    </row>
    <row r="509" spans="4:4" ht="15" customHeight="1" x14ac:dyDescent="0.2">
      <c r="D509" s="43"/>
    </row>
    <row r="510" spans="4:4" ht="15" customHeight="1" x14ac:dyDescent="0.2">
      <c r="D510" s="43"/>
    </row>
    <row r="511" spans="4:4" ht="15" customHeight="1" x14ac:dyDescent="0.2">
      <c r="D511" s="43"/>
    </row>
    <row r="512" spans="4:4" ht="15" customHeight="1" x14ac:dyDescent="0.2">
      <c r="D512" s="43"/>
    </row>
    <row r="513" spans="4:4" ht="15" customHeight="1" x14ac:dyDescent="0.2">
      <c r="D513" s="43"/>
    </row>
    <row r="514" spans="4:4" ht="15" customHeight="1" x14ac:dyDescent="0.2">
      <c r="D514" s="43"/>
    </row>
    <row r="515" spans="4:4" ht="15" customHeight="1" x14ac:dyDescent="0.2">
      <c r="D515" s="43"/>
    </row>
    <row r="516" spans="4:4" ht="15" customHeight="1" x14ac:dyDescent="0.2">
      <c r="D516" s="43"/>
    </row>
    <row r="517" spans="4:4" ht="15" customHeight="1" x14ac:dyDescent="0.2">
      <c r="D517" s="43"/>
    </row>
    <row r="518" spans="4:4" ht="15" customHeight="1" x14ac:dyDescent="0.2">
      <c r="D518" s="43"/>
    </row>
    <row r="519" spans="4:4" ht="15" customHeight="1" x14ac:dyDescent="0.2">
      <c r="D519" s="43"/>
    </row>
    <row r="520" spans="4:4" ht="15" customHeight="1" x14ac:dyDescent="0.2">
      <c r="D520" s="43"/>
    </row>
    <row r="521" spans="4:4" ht="15" customHeight="1" x14ac:dyDescent="0.2">
      <c r="D521" s="43"/>
    </row>
    <row r="522" spans="4:4" ht="15" customHeight="1" x14ac:dyDescent="0.2">
      <c r="D522" s="43"/>
    </row>
    <row r="523" spans="4:4" ht="15" customHeight="1" x14ac:dyDescent="0.2">
      <c r="D523" s="43"/>
    </row>
    <row r="524" spans="4:4" ht="15" customHeight="1" x14ac:dyDescent="0.2">
      <c r="D524" s="43"/>
    </row>
    <row r="525" spans="4:4" ht="15" customHeight="1" x14ac:dyDescent="0.2">
      <c r="D525" s="43"/>
    </row>
    <row r="526" spans="4:4" ht="15" customHeight="1" x14ac:dyDescent="0.2">
      <c r="D526" s="43"/>
    </row>
    <row r="527" spans="4:4" ht="15" customHeight="1" x14ac:dyDescent="0.2">
      <c r="D527" s="43"/>
    </row>
    <row r="528" spans="4:4" ht="15" customHeight="1" x14ac:dyDescent="0.2">
      <c r="D528" s="43"/>
    </row>
    <row r="529" spans="4:4" ht="15" customHeight="1" x14ac:dyDescent="0.2">
      <c r="D529" s="43"/>
    </row>
    <row r="530" spans="4:4" ht="15" customHeight="1" x14ac:dyDescent="0.2">
      <c r="D530" s="43"/>
    </row>
    <row r="531" spans="4:4" ht="15" customHeight="1" x14ac:dyDescent="0.2">
      <c r="D531" s="43"/>
    </row>
    <row r="532" spans="4:4" ht="15" customHeight="1" x14ac:dyDescent="0.2">
      <c r="D532" s="43"/>
    </row>
    <row r="533" spans="4:4" ht="15" customHeight="1" x14ac:dyDescent="0.2">
      <c r="D533" s="43"/>
    </row>
    <row r="534" spans="4:4" ht="15" customHeight="1" x14ac:dyDescent="0.2">
      <c r="D534" s="43"/>
    </row>
    <row r="535" spans="4:4" ht="15" customHeight="1" x14ac:dyDescent="0.2">
      <c r="D535" s="43"/>
    </row>
    <row r="536" spans="4:4" ht="15" customHeight="1" x14ac:dyDescent="0.2">
      <c r="D536" s="43"/>
    </row>
    <row r="537" spans="4:4" ht="15" customHeight="1" x14ac:dyDescent="0.2">
      <c r="D537" s="43"/>
    </row>
    <row r="538" spans="4:4" ht="15" customHeight="1" x14ac:dyDescent="0.2">
      <c r="D538" s="43"/>
    </row>
    <row r="539" spans="4:4" ht="15" customHeight="1" x14ac:dyDescent="0.2">
      <c r="D539" s="43"/>
    </row>
    <row r="540" spans="4:4" ht="15" customHeight="1" x14ac:dyDescent="0.2">
      <c r="D540" s="43"/>
    </row>
    <row r="541" spans="4:4" ht="15" customHeight="1" x14ac:dyDescent="0.2">
      <c r="D541" s="43"/>
    </row>
    <row r="542" spans="4:4" ht="15" customHeight="1" x14ac:dyDescent="0.2">
      <c r="D542" s="43"/>
    </row>
    <row r="543" spans="4:4" ht="15" customHeight="1" x14ac:dyDescent="0.2">
      <c r="D543" s="43"/>
    </row>
    <row r="544" spans="4:4" ht="15" customHeight="1" x14ac:dyDescent="0.2">
      <c r="D544" s="43"/>
    </row>
    <row r="545" spans="4:4" ht="15" customHeight="1" x14ac:dyDescent="0.2">
      <c r="D545" s="43"/>
    </row>
    <row r="546" spans="4:4" ht="15" customHeight="1" x14ac:dyDescent="0.2">
      <c r="D546" s="43"/>
    </row>
    <row r="547" spans="4:4" ht="15" customHeight="1" x14ac:dyDescent="0.2">
      <c r="D547" s="43"/>
    </row>
    <row r="548" spans="4:4" ht="15" customHeight="1" x14ac:dyDescent="0.2">
      <c r="D548" s="43"/>
    </row>
    <row r="549" spans="4:4" ht="15" customHeight="1" x14ac:dyDescent="0.2">
      <c r="D549" s="43"/>
    </row>
    <row r="550" spans="4:4" ht="15" customHeight="1" x14ac:dyDescent="0.2">
      <c r="D550" s="43"/>
    </row>
    <row r="551" spans="4:4" ht="15" customHeight="1" x14ac:dyDescent="0.2">
      <c r="D551" s="43"/>
    </row>
    <row r="552" spans="4:4" ht="15" customHeight="1" x14ac:dyDescent="0.2">
      <c r="D552" s="43"/>
    </row>
    <row r="553" spans="4:4" ht="15" customHeight="1" x14ac:dyDescent="0.2">
      <c r="D553" s="43"/>
    </row>
    <row r="554" spans="4:4" ht="15" customHeight="1" x14ac:dyDescent="0.2">
      <c r="D554" s="43"/>
    </row>
    <row r="555" spans="4:4" ht="15" customHeight="1" x14ac:dyDescent="0.2">
      <c r="D555" s="43"/>
    </row>
    <row r="556" spans="4:4" ht="15" customHeight="1" x14ac:dyDescent="0.2">
      <c r="D556" s="43"/>
    </row>
    <row r="557" spans="4:4" ht="15" customHeight="1" x14ac:dyDescent="0.2">
      <c r="D557" s="43"/>
    </row>
    <row r="558" spans="4:4" ht="15" customHeight="1" x14ac:dyDescent="0.2">
      <c r="D558" s="43"/>
    </row>
    <row r="559" spans="4:4" ht="15" customHeight="1" x14ac:dyDescent="0.2">
      <c r="D559" s="43"/>
    </row>
    <row r="560" spans="4:4" ht="15" customHeight="1" x14ac:dyDescent="0.2">
      <c r="D560" s="43"/>
    </row>
    <row r="561" spans="4:4" ht="15" customHeight="1" x14ac:dyDescent="0.2">
      <c r="D561" s="43"/>
    </row>
    <row r="562" spans="4:4" ht="15" customHeight="1" x14ac:dyDescent="0.2">
      <c r="D562" s="43"/>
    </row>
    <row r="563" spans="4:4" ht="15" customHeight="1" x14ac:dyDescent="0.2">
      <c r="D563" s="43"/>
    </row>
    <row r="564" spans="4:4" ht="15" customHeight="1" x14ac:dyDescent="0.2">
      <c r="D564" s="43"/>
    </row>
    <row r="565" spans="4:4" ht="15" customHeight="1" x14ac:dyDescent="0.2">
      <c r="D565" s="43"/>
    </row>
    <row r="566" spans="4:4" ht="15" customHeight="1" x14ac:dyDescent="0.2">
      <c r="D566" s="43"/>
    </row>
    <row r="567" spans="4:4" ht="15" customHeight="1" x14ac:dyDescent="0.2">
      <c r="D567" s="43"/>
    </row>
    <row r="568" spans="4:4" ht="15" customHeight="1" x14ac:dyDescent="0.2">
      <c r="D568" s="43"/>
    </row>
    <row r="569" spans="4:4" ht="15" customHeight="1" x14ac:dyDescent="0.2">
      <c r="D569" s="43"/>
    </row>
    <row r="570" spans="4:4" ht="15" customHeight="1" x14ac:dyDescent="0.2">
      <c r="D570" s="43"/>
    </row>
    <row r="571" spans="4:4" ht="15" customHeight="1" x14ac:dyDescent="0.2">
      <c r="D571" s="43"/>
    </row>
    <row r="572" spans="4:4" ht="15" customHeight="1" x14ac:dyDescent="0.2">
      <c r="D572" s="43"/>
    </row>
    <row r="573" spans="4:4" ht="15" customHeight="1" x14ac:dyDescent="0.2">
      <c r="D573" s="43"/>
    </row>
    <row r="574" spans="4:4" ht="15" customHeight="1" x14ac:dyDescent="0.2">
      <c r="D574" s="43"/>
    </row>
    <row r="575" spans="4:4" ht="15" customHeight="1" x14ac:dyDescent="0.2">
      <c r="D575" s="43"/>
    </row>
    <row r="576" spans="4:4" ht="15" customHeight="1" x14ac:dyDescent="0.2">
      <c r="D576" s="43"/>
    </row>
    <row r="577" spans="4:4" ht="15" customHeight="1" x14ac:dyDescent="0.2">
      <c r="D577" s="43"/>
    </row>
    <row r="578" spans="4:4" ht="15" customHeight="1" x14ac:dyDescent="0.2">
      <c r="D578" s="43"/>
    </row>
    <row r="579" spans="4:4" ht="15" customHeight="1" x14ac:dyDescent="0.2">
      <c r="D579" s="43"/>
    </row>
    <row r="580" spans="4:4" ht="15" customHeight="1" x14ac:dyDescent="0.2">
      <c r="D580" s="43"/>
    </row>
    <row r="581" spans="4:4" ht="15" customHeight="1" x14ac:dyDescent="0.2">
      <c r="D581" s="43"/>
    </row>
    <row r="582" spans="4:4" ht="15" customHeight="1" x14ac:dyDescent="0.2">
      <c r="D582" s="43"/>
    </row>
    <row r="583" spans="4:4" ht="15" customHeight="1" x14ac:dyDescent="0.2">
      <c r="D583" s="43"/>
    </row>
    <row r="584" spans="4:4" ht="15" customHeight="1" x14ac:dyDescent="0.2">
      <c r="D584" s="43"/>
    </row>
    <row r="585" spans="4:4" ht="15" customHeight="1" x14ac:dyDescent="0.2">
      <c r="D585" s="43"/>
    </row>
    <row r="586" spans="4:4" ht="15" customHeight="1" x14ac:dyDescent="0.2">
      <c r="D586" s="43"/>
    </row>
    <row r="587" spans="4:4" ht="15" customHeight="1" x14ac:dyDescent="0.2">
      <c r="D587" s="43"/>
    </row>
    <row r="588" spans="4:4" ht="15" customHeight="1" x14ac:dyDescent="0.2">
      <c r="D588" s="43"/>
    </row>
    <row r="589" spans="4:4" ht="15" customHeight="1" x14ac:dyDescent="0.2">
      <c r="D589" s="43"/>
    </row>
    <row r="590" spans="4:4" ht="15" customHeight="1" x14ac:dyDescent="0.2">
      <c r="D590" s="43"/>
    </row>
    <row r="591" spans="4:4" ht="15" customHeight="1" x14ac:dyDescent="0.2">
      <c r="D591" s="43"/>
    </row>
    <row r="592" spans="4:4" ht="15" customHeight="1" x14ac:dyDescent="0.2">
      <c r="D592" s="43"/>
    </row>
    <row r="593" spans="4:4" ht="15" customHeight="1" x14ac:dyDescent="0.2">
      <c r="D593" s="43"/>
    </row>
    <row r="594" spans="4:4" ht="15" customHeight="1" x14ac:dyDescent="0.2">
      <c r="D594" s="43"/>
    </row>
    <row r="595" spans="4:4" ht="15" customHeight="1" x14ac:dyDescent="0.2">
      <c r="D595" s="43"/>
    </row>
    <row r="596" spans="4:4" ht="15" customHeight="1" x14ac:dyDescent="0.2">
      <c r="D596" s="43"/>
    </row>
    <row r="597" spans="4:4" ht="15" customHeight="1" x14ac:dyDescent="0.2">
      <c r="D597" s="43"/>
    </row>
    <row r="598" spans="4:4" ht="15" customHeight="1" x14ac:dyDescent="0.2">
      <c r="D598" s="43"/>
    </row>
    <row r="599" spans="4:4" ht="15" customHeight="1" x14ac:dyDescent="0.2">
      <c r="D599" s="43"/>
    </row>
    <row r="600" spans="4:4" ht="15" customHeight="1" x14ac:dyDescent="0.2">
      <c r="D600" s="43"/>
    </row>
    <row r="601" spans="4:4" ht="15" customHeight="1" x14ac:dyDescent="0.2">
      <c r="D601" s="43"/>
    </row>
    <row r="602" spans="4:4" ht="15" customHeight="1" x14ac:dyDescent="0.2">
      <c r="D602" s="43"/>
    </row>
    <row r="603" spans="4:4" ht="15" customHeight="1" x14ac:dyDescent="0.2">
      <c r="D603" s="43"/>
    </row>
    <row r="604" spans="4:4" ht="15" customHeight="1" x14ac:dyDescent="0.2">
      <c r="D604" s="43"/>
    </row>
    <row r="605" spans="4:4" ht="15" customHeight="1" x14ac:dyDescent="0.2">
      <c r="D605" s="43"/>
    </row>
    <row r="606" spans="4:4" ht="15" customHeight="1" x14ac:dyDescent="0.2">
      <c r="D606" s="43"/>
    </row>
    <row r="607" spans="4:4" ht="15" customHeight="1" x14ac:dyDescent="0.2">
      <c r="D607" s="43"/>
    </row>
    <row r="608" spans="4:4" ht="15" customHeight="1" x14ac:dyDescent="0.2">
      <c r="D608" s="43"/>
    </row>
    <row r="609" spans="4:4" ht="15" customHeight="1" x14ac:dyDescent="0.2">
      <c r="D609" s="43"/>
    </row>
    <row r="610" spans="4:4" ht="15" customHeight="1" x14ac:dyDescent="0.2">
      <c r="D610" s="43"/>
    </row>
    <row r="611" spans="4:4" ht="15" customHeight="1" x14ac:dyDescent="0.2">
      <c r="D611" s="43"/>
    </row>
    <row r="612" spans="4:4" ht="15" customHeight="1" x14ac:dyDescent="0.2">
      <c r="D612" s="43"/>
    </row>
    <row r="613" spans="4:4" ht="15" customHeight="1" x14ac:dyDescent="0.2">
      <c r="D613" s="43"/>
    </row>
    <row r="614" spans="4:4" ht="15" customHeight="1" x14ac:dyDescent="0.2">
      <c r="D614" s="43"/>
    </row>
    <row r="615" spans="4:4" ht="15" customHeight="1" x14ac:dyDescent="0.2">
      <c r="D615" s="43"/>
    </row>
    <row r="616" spans="4:4" ht="15" customHeight="1" x14ac:dyDescent="0.2">
      <c r="D616" s="43"/>
    </row>
    <row r="617" spans="4:4" ht="15" customHeight="1" x14ac:dyDescent="0.2">
      <c r="D617" s="43"/>
    </row>
    <row r="618" spans="4:4" ht="15" customHeight="1" x14ac:dyDescent="0.2">
      <c r="D618" s="43"/>
    </row>
    <row r="619" spans="4:4" ht="15" customHeight="1" x14ac:dyDescent="0.2">
      <c r="D619" s="43"/>
    </row>
    <row r="620" spans="4:4" ht="15" customHeight="1" x14ac:dyDescent="0.2">
      <c r="D620" s="43"/>
    </row>
    <row r="621" spans="4:4" ht="15" customHeight="1" x14ac:dyDescent="0.2">
      <c r="D621" s="43"/>
    </row>
    <row r="622" spans="4:4" ht="15" customHeight="1" x14ac:dyDescent="0.2">
      <c r="D622" s="43"/>
    </row>
    <row r="623" spans="4:4" ht="15" customHeight="1" x14ac:dyDescent="0.2">
      <c r="D623" s="43"/>
    </row>
    <row r="624" spans="4:4" ht="15" customHeight="1" x14ac:dyDescent="0.2">
      <c r="D624" s="43"/>
    </row>
    <row r="625" spans="4:4" ht="15" customHeight="1" x14ac:dyDescent="0.2">
      <c r="D625" s="43"/>
    </row>
    <row r="626" spans="4:4" ht="15" customHeight="1" x14ac:dyDescent="0.2">
      <c r="D626" s="43"/>
    </row>
    <row r="627" spans="4:4" ht="15" customHeight="1" x14ac:dyDescent="0.2">
      <c r="D627" s="43"/>
    </row>
    <row r="628" spans="4:4" ht="15" customHeight="1" x14ac:dyDescent="0.2">
      <c r="D628" s="43"/>
    </row>
    <row r="629" spans="4:4" ht="15" customHeight="1" x14ac:dyDescent="0.2">
      <c r="D629" s="43"/>
    </row>
    <row r="630" spans="4:4" ht="15" customHeight="1" x14ac:dyDescent="0.2">
      <c r="D630" s="43"/>
    </row>
    <row r="631" spans="4:4" ht="15" customHeight="1" x14ac:dyDescent="0.2">
      <c r="D631" s="43"/>
    </row>
    <row r="632" spans="4:4" ht="15" customHeight="1" x14ac:dyDescent="0.2">
      <c r="D632" s="43"/>
    </row>
    <row r="633" spans="4:4" ht="15" customHeight="1" x14ac:dyDescent="0.2">
      <c r="D633" s="43"/>
    </row>
    <row r="634" spans="4:4" ht="15" customHeight="1" x14ac:dyDescent="0.2">
      <c r="D634" s="43"/>
    </row>
    <row r="635" spans="4:4" ht="15" customHeight="1" x14ac:dyDescent="0.2">
      <c r="D635" s="43"/>
    </row>
    <row r="636" spans="4:4" ht="15" customHeight="1" x14ac:dyDescent="0.2">
      <c r="D636" s="43"/>
    </row>
    <row r="637" spans="4:4" ht="15" customHeight="1" x14ac:dyDescent="0.2">
      <c r="D637" s="43"/>
    </row>
    <row r="638" spans="4:4" ht="15" customHeight="1" x14ac:dyDescent="0.2">
      <c r="D638" s="43"/>
    </row>
    <row r="639" spans="4:4" ht="15" customHeight="1" x14ac:dyDescent="0.2">
      <c r="D639" s="43"/>
    </row>
    <row r="640" spans="4:4" ht="15" customHeight="1" x14ac:dyDescent="0.2">
      <c r="D640" s="43"/>
    </row>
    <row r="641" spans="4:4" ht="15" customHeight="1" x14ac:dyDescent="0.2">
      <c r="D641" s="43"/>
    </row>
    <row r="642" spans="4:4" ht="15" customHeight="1" x14ac:dyDescent="0.2">
      <c r="D642" s="43"/>
    </row>
    <row r="643" spans="4:4" ht="15" customHeight="1" x14ac:dyDescent="0.2">
      <c r="D643" s="43"/>
    </row>
    <row r="644" spans="4:4" ht="15" customHeight="1" x14ac:dyDescent="0.2">
      <c r="D644" s="43"/>
    </row>
    <row r="645" spans="4:4" ht="15" customHeight="1" x14ac:dyDescent="0.2">
      <c r="D645" s="43"/>
    </row>
    <row r="646" spans="4:4" ht="15" customHeight="1" x14ac:dyDescent="0.2">
      <c r="D646" s="43"/>
    </row>
    <row r="647" spans="4:4" ht="15" customHeight="1" x14ac:dyDescent="0.2">
      <c r="D647" s="43"/>
    </row>
    <row r="648" spans="4:4" ht="15" customHeight="1" x14ac:dyDescent="0.2">
      <c r="D648" s="43"/>
    </row>
    <row r="649" spans="4:4" ht="15" customHeight="1" x14ac:dyDescent="0.2">
      <c r="D649" s="43"/>
    </row>
    <row r="650" spans="4:4" ht="15" customHeight="1" x14ac:dyDescent="0.2">
      <c r="D650" s="43"/>
    </row>
    <row r="651" spans="4:4" ht="15" customHeight="1" x14ac:dyDescent="0.2">
      <c r="D651" s="43"/>
    </row>
    <row r="652" spans="4:4" ht="15" customHeight="1" x14ac:dyDescent="0.2">
      <c r="D652" s="43"/>
    </row>
    <row r="653" spans="4:4" ht="15" customHeight="1" x14ac:dyDescent="0.2">
      <c r="D653" s="43"/>
    </row>
    <row r="654" spans="4:4" ht="15" customHeight="1" x14ac:dyDescent="0.2">
      <c r="D654" s="43"/>
    </row>
    <row r="655" spans="4:4" ht="15" customHeight="1" x14ac:dyDescent="0.2">
      <c r="D655" s="43"/>
    </row>
    <row r="656" spans="4:4" ht="15" customHeight="1" x14ac:dyDescent="0.2">
      <c r="D656" s="43"/>
    </row>
    <row r="657" spans="4:4" ht="15" customHeight="1" x14ac:dyDescent="0.2">
      <c r="D657" s="43"/>
    </row>
    <row r="658" spans="4:4" ht="15" customHeight="1" x14ac:dyDescent="0.2">
      <c r="D658" s="43"/>
    </row>
    <row r="659" spans="4:4" ht="15" customHeight="1" x14ac:dyDescent="0.2">
      <c r="D659" s="43"/>
    </row>
    <row r="660" spans="4:4" ht="15" customHeight="1" x14ac:dyDescent="0.2">
      <c r="D660" s="43"/>
    </row>
    <row r="661" spans="4:4" ht="15" customHeight="1" x14ac:dyDescent="0.2">
      <c r="D661" s="43"/>
    </row>
    <row r="662" spans="4:4" ht="15" customHeight="1" x14ac:dyDescent="0.2">
      <c r="D662" s="43"/>
    </row>
    <row r="663" spans="4:4" ht="15" customHeight="1" x14ac:dyDescent="0.2">
      <c r="D663" s="43"/>
    </row>
    <row r="664" spans="4:4" ht="15" customHeight="1" x14ac:dyDescent="0.2">
      <c r="D664" s="43"/>
    </row>
    <row r="665" spans="4:4" ht="15" customHeight="1" x14ac:dyDescent="0.2">
      <c r="D665" s="43"/>
    </row>
    <row r="666" spans="4:4" ht="15" customHeight="1" x14ac:dyDescent="0.2">
      <c r="D666" s="43"/>
    </row>
    <row r="667" spans="4:4" ht="15" customHeight="1" x14ac:dyDescent="0.2">
      <c r="D667" s="43"/>
    </row>
    <row r="668" spans="4:4" ht="15" customHeight="1" x14ac:dyDescent="0.2">
      <c r="D668" s="43"/>
    </row>
    <row r="669" spans="4:4" ht="15" customHeight="1" x14ac:dyDescent="0.2">
      <c r="D669" s="43"/>
    </row>
    <row r="670" spans="4:4" ht="15" customHeight="1" x14ac:dyDescent="0.2">
      <c r="D670" s="43"/>
    </row>
    <row r="671" spans="4:4" ht="15" customHeight="1" x14ac:dyDescent="0.2">
      <c r="D671" s="43"/>
    </row>
    <row r="672" spans="4:4" ht="15" customHeight="1" x14ac:dyDescent="0.2">
      <c r="D672" s="43"/>
    </row>
    <row r="673" spans="4:4" ht="15" customHeight="1" x14ac:dyDescent="0.2">
      <c r="D673" s="43"/>
    </row>
    <row r="674" spans="4:4" ht="15" customHeight="1" x14ac:dyDescent="0.2">
      <c r="D674" s="43"/>
    </row>
    <row r="675" spans="4:4" ht="15" customHeight="1" x14ac:dyDescent="0.2">
      <c r="D675" s="43"/>
    </row>
    <row r="676" spans="4:4" ht="15" customHeight="1" x14ac:dyDescent="0.2">
      <c r="D676" s="43"/>
    </row>
    <row r="677" spans="4:4" ht="15" customHeight="1" x14ac:dyDescent="0.2">
      <c r="D677" s="43"/>
    </row>
    <row r="678" spans="4:4" ht="15" customHeight="1" x14ac:dyDescent="0.2">
      <c r="D678" s="43"/>
    </row>
    <row r="679" spans="4:4" ht="15" customHeight="1" x14ac:dyDescent="0.2">
      <c r="D679" s="43"/>
    </row>
    <row r="680" spans="4:4" ht="15" customHeight="1" x14ac:dyDescent="0.2">
      <c r="D680" s="43"/>
    </row>
    <row r="681" spans="4:4" ht="15" customHeight="1" x14ac:dyDescent="0.2">
      <c r="D681" s="43"/>
    </row>
    <row r="682" spans="4:4" ht="15" customHeight="1" x14ac:dyDescent="0.2">
      <c r="D682" s="43"/>
    </row>
    <row r="683" spans="4:4" ht="15" customHeight="1" x14ac:dyDescent="0.2">
      <c r="D683" s="43"/>
    </row>
    <row r="684" spans="4:4" ht="15" customHeight="1" x14ac:dyDescent="0.2">
      <c r="D684" s="43"/>
    </row>
    <row r="685" spans="4:4" ht="15" customHeight="1" x14ac:dyDescent="0.2">
      <c r="D685" s="43"/>
    </row>
    <row r="686" spans="4:4" ht="15" customHeight="1" x14ac:dyDescent="0.2">
      <c r="D686" s="43"/>
    </row>
    <row r="687" spans="4:4" ht="15" customHeight="1" x14ac:dyDescent="0.2">
      <c r="D687" s="43"/>
    </row>
    <row r="688" spans="4:4" ht="15" customHeight="1" x14ac:dyDescent="0.2">
      <c r="D688" s="43"/>
    </row>
    <row r="689" spans="4:4" ht="15" customHeight="1" x14ac:dyDescent="0.2">
      <c r="D689" s="43"/>
    </row>
    <row r="690" spans="4:4" ht="15" customHeight="1" x14ac:dyDescent="0.2">
      <c r="D690" s="43"/>
    </row>
    <row r="691" spans="4:4" ht="15" customHeight="1" x14ac:dyDescent="0.2">
      <c r="D691" s="43"/>
    </row>
    <row r="692" spans="4:4" ht="15" customHeight="1" x14ac:dyDescent="0.2">
      <c r="D692" s="43"/>
    </row>
    <row r="693" spans="4:4" ht="15" customHeight="1" x14ac:dyDescent="0.2">
      <c r="D693" s="43"/>
    </row>
    <row r="694" spans="4:4" ht="15" customHeight="1" x14ac:dyDescent="0.2">
      <c r="D694" s="43"/>
    </row>
    <row r="695" spans="4:4" ht="15" customHeight="1" x14ac:dyDescent="0.2">
      <c r="D695" s="43"/>
    </row>
    <row r="696" spans="4:4" ht="15" customHeight="1" x14ac:dyDescent="0.2">
      <c r="D696" s="43"/>
    </row>
    <row r="697" spans="4:4" ht="15" customHeight="1" x14ac:dyDescent="0.2">
      <c r="D697" s="43"/>
    </row>
    <row r="698" spans="4:4" ht="15" customHeight="1" x14ac:dyDescent="0.2">
      <c r="D698" s="43"/>
    </row>
    <row r="699" spans="4:4" ht="15" customHeight="1" x14ac:dyDescent="0.2">
      <c r="D699" s="43"/>
    </row>
    <row r="700" spans="4:4" ht="15" customHeight="1" x14ac:dyDescent="0.2">
      <c r="D700" s="43"/>
    </row>
    <row r="701" spans="4:4" ht="15" customHeight="1" x14ac:dyDescent="0.2">
      <c r="D701" s="43"/>
    </row>
    <row r="702" spans="4:4" ht="15" customHeight="1" x14ac:dyDescent="0.2">
      <c r="D702" s="43"/>
    </row>
    <row r="703" spans="4:4" ht="15" customHeight="1" x14ac:dyDescent="0.2">
      <c r="D703" s="43"/>
    </row>
    <row r="704" spans="4:4" ht="15" customHeight="1" x14ac:dyDescent="0.2">
      <c r="D704" s="43"/>
    </row>
    <row r="705" spans="4:4" ht="15" customHeight="1" x14ac:dyDescent="0.2">
      <c r="D705" s="43"/>
    </row>
    <row r="706" spans="4:4" ht="15" customHeight="1" x14ac:dyDescent="0.2">
      <c r="D706" s="43"/>
    </row>
    <row r="707" spans="4:4" ht="15" customHeight="1" x14ac:dyDescent="0.2">
      <c r="D707" s="43"/>
    </row>
    <row r="708" spans="4:4" ht="15" customHeight="1" x14ac:dyDescent="0.2">
      <c r="D708" s="43"/>
    </row>
    <row r="709" spans="4:4" ht="15" customHeight="1" x14ac:dyDescent="0.2">
      <c r="D709" s="43"/>
    </row>
    <row r="710" spans="4:4" ht="15" customHeight="1" x14ac:dyDescent="0.2">
      <c r="D710" s="43"/>
    </row>
    <row r="711" spans="4:4" ht="15" customHeight="1" x14ac:dyDescent="0.2">
      <c r="D711" s="43"/>
    </row>
    <row r="712" spans="4:4" ht="15" customHeight="1" x14ac:dyDescent="0.2">
      <c r="D712" s="43"/>
    </row>
    <row r="713" spans="4:4" ht="15" customHeight="1" x14ac:dyDescent="0.2">
      <c r="D713" s="43"/>
    </row>
    <row r="714" spans="4:4" ht="15" customHeight="1" x14ac:dyDescent="0.2">
      <c r="D714" s="43"/>
    </row>
    <row r="715" spans="4:4" ht="15" customHeight="1" x14ac:dyDescent="0.2">
      <c r="D715" s="43"/>
    </row>
    <row r="716" spans="4:4" ht="15" customHeight="1" x14ac:dyDescent="0.2">
      <c r="D716" s="43"/>
    </row>
    <row r="717" spans="4:4" ht="15" customHeight="1" x14ac:dyDescent="0.2">
      <c r="D717" s="43"/>
    </row>
    <row r="718" spans="4:4" ht="15" customHeight="1" x14ac:dyDescent="0.2">
      <c r="D718" s="43"/>
    </row>
    <row r="719" spans="4:4" ht="15" customHeight="1" x14ac:dyDescent="0.2">
      <c r="D719" s="43"/>
    </row>
    <row r="720" spans="4:4" ht="15" customHeight="1" x14ac:dyDescent="0.2">
      <c r="D720" s="43"/>
    </row>
    <row r="721" spans="4:4" ht="15" customHeight="1" x14ac:dyDescent="0.2">
      <c r="D721" s="43"/>
    </row>
    <row r="722" spans="4:4" ht="15" customHeight="1" x14ac:dyDescent="0.2">
      <c r="D722" s="43"/>
    </row>
    <row r="723" spans="4:4" ht="15" customHeight="1" x14ac:dyDescent="0.2">
      <c r="D723" s="43"/>
    </row>
    <row r="724" spans="4:4" ht="15" customHeight="1" x14ac:dyDescent="0.2">
      <c r="D724" s="43"/>
    </row>
    <row r="725" spans="4:4" ht="15" customHeight="1" x14ac:dyDescent="0.2">
      <c r="D725" s="43"/>
    </row>
    <row r="726" spans="4:4" ht="15" customHeight="1" x14ac:dyDescent="0.2">
      <c r="D726" s="43"/>
    </row>
    <row r="727" spans="4:4" ht="15" customHeight="1" x14ac:dyDescent="0.2">
      <c r="D727" s="43"/>
    </row>
    <row r="728" spans="4:4" ht="15" customHeight="1" x14ac:dyDescent="0.2">
      <c r="D728" s="43"/>
    </row>
    <row r="729" spans="4:4" ht="15" customHeight="1" x14ac:dyDescent="0.2">
      <c r="D729" s="43"/>
    </row>
    <row r="730" spans="4:4" ht="15" customHeight="1" x14ac:dyDescent="0.2">
      <c r="D730" s="43"/>
    </row>
    <row r="731" spans="4:4" ht="15" customHeight="1" x14ac:dyDescent="0.2">
      <c r="D731" s="43"/>
    </row>
    <row r="732" spans="4:4" ht="15" customHeight="1" x14ac:dyDescent="0.2">
      <c r="D732" s="43"/>
    </row>
    <row r="733" spans="4:4" ht="15" customHeight="1" x14ac:dyDescent="0.2">
      <c r="D733" s="43"/>
    </row>
    <row r="734" spans="4:4" ht="15" customHeight="1" x14ac:dyDescent="0.2">
      <c r="D734" s="43"/>
    </row>
    <row r="735" spans="4:4" ht="15" customHeight="1" x14ac:dyDescent="0.2">
      <c r="D735" s="43"/>
    </row>
    <row r="736" spans="4:4" ht="15" customHeight="1" x14ac:dyDescent="0.2">
      <c r="D736" s="43"/>
    </row>
    <row r="737" spans="4:4" ht="15" customHeight="1" x14ac:dyDescent="0.2">
      <c r="D737" s="43"/>
    </row>
    <row r="738" spans="4:4" ht="15" customHeight="1" x14ac:dyDescent="0.2">
      <c r="D738" s="43"/>
    </row>
    <row r="739" spans="4:4" ht="15" customHeight="1" x14ac:dyDescent="0.2">
      <c r="D739" s="43"/>
    </row>
    <row r="740" spans="4:4" ht="15" customHeight="1" x14ac:dyDescent="0.2">
      <c r="D740" s="43"/>
    </row>
    <row r="741" spans="4:4" ht="15" customHeight="1" x14ac:dyDescent="0.2">
      <c r="D741" s="43"/>
    </row>
    <row r="742" spans="4:4" ht="15" customHeight="1" x14ac:dyDescent="0.2">
      <c r="D742" s="43"/>
    </row>
    <row r="743" spans="4:4" ht="15" customHeight="1" x14ac:dyDescent="0.2">
      <c r="D743" s="43"/>
    </row>
    <row r="744" spans="4:4" ht="15" customHeight="1" x14ac:dyDescent="0.2">
      <c r="D744" s="43"/>
    </row>
    <row r="745" spans="4:4" ht="15" customHeight="1" x14ac:dyDescent="0.2">
      <c r="D745" s="43"/>
    </row>
    <row r="746" spans="4:4" ht="15" customHeight="1" x14ac:dyDescent="0.2">
      <c r="D746" s="43"/>
    </row>
    <row r="747" spans="4:4" ht="15" customHeight="1" x14ac:dyDescent="0.2">
      <c r="D747" s="43"/>
    </row>
    <row r="748" spans="4:4" ht="15" customHeight="1" x14ac:dyDescent="0.2">
      <c r="D748" s="43"/>
    </row>
    <row r="749" spans="4:4" ht="15" customHeight="1" x14ac:dyDescent="0.2">
      <c r="D749" s="43"/>
    </row>
    <row r="750" spans="4:4" ht="15" customHeight="1" x14ac:dyDescent="0.2">
      <c r="D750" s="43"/>
    </row>
    <row r="751" spans="4:4" ht="15" customHeight="1" x14ac:dyDescent="0.2">
      <c r="D751" s="43"/>
    </row>
    <row r="752" spans="4:4" ht="15" customHeight="1" x14ac:dyDescent="0.2">
      <c r="D752" s="43"/>
    </row>
    <row r="753" spans="4:4" ht="15" customHeight="1" x14ac:dyDescent="0.2">
      <c r="D753" s="43"/>
    </row>
    <row r="754" spans="4:4" ht="15" customHeight="1" x14ac:dyDescent="0.2">
      <c r="D754" s="43"/>
    </row>
    <row r="755" spans="4:4" ht="15" customHeight="1" x14ac:dyDescent="0.2">
      <c r="D755" s="43"/>
    </row>
    <row r="756" spans="4:4" ht="15" customHeight="1" x14ac:dyDescent="0.2">
      <c r="D756" s="43"/>
    </row>
    <row r="757" spans="4:4" ht="15" customHeight="1" x14ac:dyDescent="0.2">
      <c r="D757" s="43"/>
    </row>
    <row r="758" spans="4:4" ht="15" customHeight="1" x14ac:dyDescent="0.2">
      <c r="D758" s="43"/>
    </row>
    <row r="759" spans="4:4" ht="15" customHeight="1" x14ac:dyDescent="0.2">
      <c r="D759" s="43"/>
    </row>
    <row r="760" spans="4:4" ht="15" customHeight="1" x14ac:dyDescent="0.2">
      <c r="D760" s="43"/>
    </row>
    <row r="761" spans="4:4" ht="15" customHeight="1" x14ac:dyDescent="0.2">
      <c r="D761" s="43"/>
    </row>
    <row r="762" spans="4:4" ht="15" customHeight="1" x14ac:dyDescent="0.2">
      <c r="D762" s="43"/>
    </row>
    <row r="763" spans="4:4" ht="15" customHeight="1" x14ac:dyDescent="0.2">
      <c r="D763" s="43"/>
    </row>
    <row r="764" spans="4:4" ht="15" customHeight="1" x14ac:dyDescent="0.2">
      <c r="D764" s="43"/>
    </row>
    <row r="765" spans="4:4" ht="15" customHeight="1" x14ac:dyDescent="0.2">
      <c r="D765" s="43"/>
    </row>
    <row r="766" spans="4:4" ht="15" customHeight="1" x14ac:dyDescent="0.2">
      <c r="D766" s="43"/>
    </row>
    <row r="767" spans="4:4" ht="15" customHeight="1" x14ac:dyDescent="0.2">
      <c r="D767" s="43"/>
    </row>
    <row r="768" spans="4:4" ht="15" customHeight="1" x14ac:dyDescent="0.2">
      <c r="D768" s="43"/>
    </row>
    <row r="769" spans="4:4" ht="15" customHeight="1" x14ac:dyDescent="0.2">
      <c r="D769" s="43"/>
    </row>
    <row r="770" spans="4:4" ht="15" customHeight="1" x14ac:dyDescent="0.2">
      <c r="D770" s="43"/>
    </row>
    <row r="771" spans="4:4" ht="15" customHeight="1" x14ac:dyDescent="0.2">
      <c r="D771" s="43"/>
    </row>
    <row r="772" spans="4:4" ht="15" customHeight="1" x14ac:dyDescent="0.2">
      <c r="D772" s="43"/>
    </row>
    <row r="773" spans="4:4" ht="15" customHeight="1" x14ac:dyDescent="0.2">
      <c r="D773" s="43"/>
    </row>
    <row r="774" spans="4:4" ht="15" customHeight="1" x14ac:dyDescent="0.2">
      <c r="D774" s="43"/>
    </row>
    <row r="775" spans="4:4" ht="15" customHeight="1" x14ac:dyDescent="0.2">
      <c r="D775" s="43"/>
    </row>
    <row r="776" spans="4:4" ht="15" customHeight="1" x14ac:dyDescent="0.2">
      <c r="D776" s="43"/>
    </row>
    <row r="777" spans="4:4" ht="15" customHeight="1" x14ac:dyDescent="0.2">
      <c r="D777" s="43"/>
    </row>
    <row r="778" spans="4:4" ht="15" customHeight="1" x14ac:dyDescent="0.2">
      <c r="D778" s="43"/>
    </row>
    <row r="779" spans="4:4" ht="15" customHeight="1" x14ac:dyDescent="0.2">
      <c r="D779" s="43"/>
    </row>
    <row r="780" spans="4:4" ht="15" customHeight="1" x14ac:dyDescent="0.2">
      <c r="D780" s="43"/>
    </row>
    <row r="781" spans="4:4" ht="15" customHeight="1" x14ac:dyDescent="0.2">
      <c r="D781" s="43"/>
    </row>
    <row r="782" spans="4:4" ht="15" customHeight="1" x14ac:dyDescent="0.2">
      <c r="D782" s="43"/>
    </row>
    <row r="783" spans="4:4" ht="15" customHeight="1" x14ac:dyDescent="0.2">
      <c r="D783" s="43"/>
    </row>
    <row r="784" spans="4:4" ht="15" customHeight="1" x14ac:dyDescent="0.2">
      <c r="D784" s="43"/>
    </row>
    <row r="785" spans="4:4" ht="15" customHeight="1" x14ac:dyDescent="0.2">
      <c r="D785" s="43"/>
    </row>
    <row r="786" spans="4:4" ht="15" customHeight="1" x14ac:dyDescent="0.2">
      <c r="D786" s="43"/>
    </row>
    <row r="787" spans="4:4" ht="15" customHeight="1" x14ac:dyDescent="0.2">
      <c r="D787" s="43"/>
    </row>
    <row r="788" spans="4:4" ht="15" customHeight="1" x14ac:dyDescent="0.2">
      <c r="D788" s="43"/>
    </row>
    <row r="789" spans="4:4" ht="15" customHeight="1" x14ac:dyDescent="0.2">
      <c r="D789" s="43"/>
    </row>
    <row r="790" spans="4:4" ht="15" customHeight="1" x14ac:dyDescent="0.2">
      <c r="D790" s="43"/>
    </row>
    <row r="791" spans="4:4" ht="15" customHeight="1" x14ac:dyDescent="0.2">
      <c r="D791" s="43"/>
    </row>
    <row r="792" spans="4:4" ht="15" customHeight="1" x14ac:dyDescent="0.2">
      <c r="D792" s="43"/>
    </row>
    <row r="793" spans="4:4" ht="15" customHeight="1" x14ac:dyDescent="0.2">
      <c r="D793" s="43"/>
    </row>
    <row r="794" spans="4:4" ht="15" customHeight="1" x14ac:dyDescent="0.2">
      <c r="D794" s="43"/>
    </row>
    <row r="795" spans="4:4" ht="15" customHeight="1" x14ac:dyDescent="0.2">
      <c r="D795" s="43"/>
    </row>
    <row r="796" spans="4:4" ht="15" customHeight="1" x14ac:dyDescent="0.2">
      <c r="D796" s="43"/>
    </row>
    <row r="797" spans="4:4" ht="15" customHeight="1" x14ac:dyDescent="0.2">
      <c r="D797" s="43"/>
    </row>
    <row r="798" spans="4:4" ht="15" customHeight="1" x14ac:dyDescent="0.2">
      <c r="D798" s="43"/>
    </row>
    <row r="799" spans="4:4" ht="15" customHeight="1" x14ac:dyDescent="0.2">
      <c r="D799" s="43"/>
    </row>
    <row r="800" spans="4:4" ht="15" customHeight="1" x14ac:dyDescent="0.2">
      <c r="D800" s="43"/>
    </row>
    <row r="801" spans="4:4" ht="15" customHeight="1" x14ac:dyDescent="0.2">
      <c r="D801" s="43"/>
    </row>
    <row r="802" spans="4:4" ht="15" customHeight="1" x14ac:dyDescent="0.2">
      <c r="D802" s="43"/>
    </row>
    <row r="803" spans="4:4" ht="15" customHeight="1" x14ac:dyDescent="0.2">
      <c r="D803" s="43"/>
    </row>
    <row r="804" spans="4:4" ht="15" customHeight="1" x14ac:dyDescent="0.2">
      <c r="D804" s="43"/>
    </row>
    <row r="805" spans="4:4" ht="15" customHeight="1" x14ac:dyDescent="0.2">
      <c r="D805" s="43"/>
    </row>
    <row r="806" spans="4:4" ht="15" customHeight="1" x14ac:dyDescent="0.2">
      <c r="D806" s="43"/>
    </row>
    <row r="807" spans="4:4" ht="15" customHeight="1" x14ac:dyDescent="0.2">
      <c r="D807" s="43"/>
    </row>
    <row r="808" spans="4:4" ht="15" customHeight="1" x14ac:dyDescent="0.2">
      <c r="D808" s="43"/>
    </row>
    <row r="809" spans="4:4" ht="15" customHeight="1" x14ac:dyDescent="0.2">
      <c r="D809" s="43"/>
    </row>
    <row r="810" spans="4:4" ht="15" customHeight="1" x14ac:dyDescent="0.2">
      <c r="D810" s="43"/>
    </row>
    <row r="811" spans="4:4" ht="15" customHeight="1" x14ac:dyDescent="0.2">
      <c r="D811" s="43"/>
    </row>
    <row r="812" spans="4:4" ht="15" customHeight="1" x14ac:dyDescent="0.2">
      <c r="D812" s="43"/>
    </row>
    <row r="813" spans="4:4" ht="15" customHeight="1" x14ac:dyDescent="0.2">
      <c r="D813" s="43"/>
    </row>
    <row r="814" spans="4:4" ht="15" customHeight="1" x14ac:dyDescent="0.2">
      <c r="D814" s="43"/>
    </row>
    <row r="815" spans="4:4" ht="15" customHeight="1" x14ac:dyDescent="0.2">
      <c r="D815" s="43"/>
    </row>
    <row r="816" spans="4:4" ht="15" customHeight="1" x14ac:dyDescent="0.2">
      <c r="D816" s="43"/>
    </row>
    <row r="817" spans="4:4" ht="15" customHeight="1" x14ac:dyDescent="0.2">
      <c r="D817" s="43"/>
    </row>
    <row r="818" spans="4:4" ht="15" customHeight="1" x14ac:dyDescent="0.2">
      <c r="D818" s="43"/>
    </row>
    <row r="819" spans="4:4" ht="15" customHeight="1" x14ac:dyDescent="0.2">
      <c r="D819" s="43"/>
    </row>
    <row r="820" spans="4:4" ht="15" customHeight="1" x14ac:dyDescent="0.2">
      <c r="D820" s="43"/>
    </row>
    <row r="821" spans="4:4" ht="15" customHeight="1" x14ac:dyDescent="0.2">
      <c r="D821" s="43"/>
    </row>
    <row r="822" spans="4:4" ht="15" customHeight="1" x14ac:dyDescent="0.2">
      <c r="D822" s="43"/>
    </row>
    <row r="823" spans="4:4" ht="15" customHeight="1" x14ac:dyDescent="0.2">
      <c r="D823" s="43"/>
    </row>
    <row r="824" spans="4:4" ht="15" customHeight="1" x14ac:dyDescent="0.2">
      <c r="D824" s="43"/>
    </row>
    <row r="825" spans="4:4" ht="15" customHeight="1" x14ac:dyDescent="0.2">
      <c r="D825" s="43"/>
    </row>
    <row r="826" spans="4:4" ht="15" customHeight="1" x14ac:dyDescent="0.2">
      <c r="D826" s="43"/>
    </row>
    <row r="827" spans="4:4" ht="15" customHeight="1" x14ac:dyDescent="0.2">
      <c r="D827" s="43"/>
    </row>
    <row r="828" spans="4:4" ht="15" customHeight="1" x14ac:dyDescent="0.2">
      <c r="D828" s="43"/>
    </row>
    <row r="829" spans="4:4" ht="15" customHeight="1" x14ac:dyDescent="0.2">
      <c r="D829" s="43"/>
    </row>
    <row r="830" spans="4:4" ht="15" customHeight="1" x14ac:dyDescent="0.2">
      <c r="D830" s="43"/>
    </row>
    <row r="831" spans="4:4" ht="15" customHeight="1" x14ac:dyDescent="0.2">
      <c r="D831" s="43"/>
    </row>
    <row r="832" spans="4:4" ht="15" customHeight="1" x14ac:dyDescent="0.2">
      <c r="D832" s="43"/>
    </row>
    <row r="833" spans="4:4" ht="15" customHeight="1" x14ac:dyDescent="0.2">
      <c r="D833" s="43"/>
    </row>
    <row r="834" spans="4:4" ht="15" customHeight="1" x14ac:dyDescent="0.2">
      <c r="D834" s="43"/>
    </row>
    <row r="835" spans="4:4" ht="15" customHeight="1" x14ac:dyDescent="0.2">
      <c r="D835" s="43"/>
    </row>
    <row r="836" spans="4:4" ht="15" customHeight="1" x14ac:dyDescent="0.2">
      <c r="D836" s="43"/>
    </row>
    <row r="837" spans="4:4" ht="15" customHeight="1" x14ac:dyDescent="0.2">
      <c r="D837" s="43"/>
    </row>
    <row r="838" spans="4:4" ht="15" customHeight="1" x14ac:dyDescent="0.2">
      <c r="D838" s="43"/>
    </row>
    <row r="839" spans="4:4" ht="15" customHeight="1" x14ac:dyDescent="0.2">
      <c r="D839" s="43"/>
    </row>
    <row r="840" spans="4:4" ht="15" customHeight="1" x14ac:dyDescent="0.2">
      <c r="D840" s="43"/>
    </row>
    <row r="841" spans="4:4" ht="15" customHeight="1" x14ac:dyDescent="0.2">
      <c r="D841" s="43"/>
    </row>
    <row r="842" spans="4:4" ht="15" customHeight="1" x14ac:dyDescent="0.2">
      <c r="D842" s="43"/>
    </row>
    <row r="843" spans="4:4" ht="15" customHeight="1" x14ac:dyDescent="0.2">
      <c r="D843" s="43"/>
    </row>
    <row r="844" spans="4:4" ht="15" customHeight="1" x14ac:dyDescent="0.2">
      <c r="D844" s="43"/>
    </row>
    <row r="845" spans="4:4" ht="15" customHeight="1" x14ac:dyDescent="0.2">
      <c r="D845" s="43"/>
    </row>
    <row r="846" spans="4:4" ht="15" customHeight="1" x14ac:dyDescent="0.2">
      <c r="D846" s="43"/>
    </row>
    <row r="847" spans="4:4" ht="15" customHeight="1" x14ac:dyDescent="0.2">
      <c r="D847" s="43"/>
    </row>
    <row r="848" spans="4:4" ht="15" customHeight="1" x14ac:dyDescent="0.2">
      <c r="D848" s="43"/>
    </row>
    <row r="849" spans="4:4" ht="15" customHeight="1" x14ac:dyDescent="0.2">
      <c r="D849" s="43"/>
    </row>
    <row r="850" spans="4:4" ht="15" customHeight="1" x14ac:dyDescent="0.2">
      <c r="D850" s="43"/>
    </row>
    <row r="851" spans="4:4" ht="15" customHeight="1" x14ac:dyDescent="0.2">
      <c r="D851" s="43"/>
    </row>
    <row r="852" spans="4:4" ht="15" customHeight="1" x14ac:dyDescent="0.2">
      <c r="D852" s="43"/>
    </row>
    <row r="853" spans="4:4" ht="15" customHeight="1" x14ac:dyDescent="0.2">
      <c r="D853" s="43"/>
    </row>
    <row r="854" spans="4:4" ht="15" customHeight="1" x14ac:dyDescent="0.2">
      <c r="D854" s="43"/>
    </row>
    <row r="855" spans="4:4" ht="15" customHeight="1" x14ac:dyDescent="0.2">
      <c r="D855" s="43"/>
    </row>
    <row r="856" spans="4:4" ht="15" customHeight="1" x14ac:dyDescent="0.2">
      <c r="D856" s="43"/>
    </row>
    <row r="857" spans="4:4" ht="15" customHeight="1" x14ac:dyDescent="0.2">
      <c r="D857" s="43"/>
    </row>
    <row r="858" spans="4:4" ht="15" customHeight="1" x14ac:dyDescent="0.2">
      <c r="D858" s="43"/>
    </row>
    <row r="859" spans="4:4" ht="15" customHeight="1" x14ac:dyDescent="0.2">
      <c r="D859" s="43"/>
    </row>
    <row r="860" spans="4:4" ht="15" customHeight="1" x14ac:dyDescent="0.2">
      <c r="D860" s="43"/>
    </row>
    <row r="861" spans="4:4" ht="15" customHeight="1" x14ac:dyDescent="0.2">
      <c r="D861" s="43"/>
    </row>
    <row r="862" spans="4:4" ht="15" customHeight="1" x14ac:dyDescent="0.2">
      <c r="D862" s="43"/>
    </row>
    <row r="863" spans="4:4" ht="15" customHeight="1" x14ac:dyDescent="0.2">
      <c r="D863" s="43"/>
    </row>
    <row r="864" spans="4:4" ht="15" customHeight="1" x14ac:dyDescent="0.2">
      <c r="D864" s="43"/>
    </row>
    <row r="865" spans="4:4" ht="15" customHeight="1" x14ac:dyDescent="0.2">
      <c r="D865" s="43"/>
    </row>
    <row r="866" spans="4:4" ht="15" customHeight="1" x14ac:dyDescent="0.2">
      <c r="D866" s="43"/>
    </row>
    <row r="867" spans="4:4" ht="15" customHeight="1" x14ac:dyDescent="0.2">
      <c r="D867" s="43"/>
    </row>
    <row r="868" spans="4:4" ht="15" customHeight="1" x14ac:dyDescent="0.2">
      <c r="D868" s="43"/>
    </row>
    <row r="869" spans="4:4" ht="15" customHeight="1" x14ac:dyDescent="0.2">
      <c r="D869" s="43"/>
    </row>
    <row r="870" spans="4:4" ht="15" customHeight="1" x14ac:dyDescent="0.2">
      <c r="D870" s="43"/>
    </row>
    <row r="871" spans="4:4" ht="15" customHeight="1" x14ac:dyDescent="0.2">
      <c r="D871" s="43"/>
    </row>
    <row r="872" spans="4:4" ht="15" customHeight="1" x14ac:dyDescent="0.2">
      <c r="D872" s="43"/>
    </row>
    <row r="873" spans="4:4" ht="15" customHeight="1" x14ac:dyDescent="0.2">
      <c r="D873" s="43"/>
    </row>
    <row r="874" spans="4:4" ht="15" customHeight="1" x14ac:dyDescent="0.2">
      <c r="D874" s="43"/>
    </row>
    <row r="875" spans="4:4" ht="15" customHeight="1" x14ac:dyDescent="0.2">
      <c r="D875" s="43"/>
    </row>
    <row r="876" spans="4:4" ht="15" customHeight="1" x14ac:dyDescent="0.2">
      <c r="D876" s="43"/>
    </row>
    <row r="877" spans="4:4" ht="15" customHeight="1" x14ac:dyDescent="0.2">
      <c r="D877" s="43"/>
    </row>
    <row r="878" spans="4:4" ht="15" customHeight="1" x14ac:dyDescent="0.2">
      <c r="D878" s="43"/>
    </row>
    <row r="879" spans="4:4" ht="15" customHeight="1" x14ac:dyDescent="0.2">
      <c r="D879" s="43"/>
    </row>
    <row r="880" spans="4:4" ht="15" customHeight="1" x14ac:dyDescent="0.2">
      <c r="D880" s="43"/>
    </row>
    <row r="881" spans="4:4" ht="15" customHeight="1" x14ac:dyDescent="0.2">
      <c r="D881" s="43"/>
    </row>
    <row r="882" spans="4:4" ht="15" customHeight="1" x14ac:dyDescent="0.2">
      <c r="D882" s="43"/>
    </row>
    <row r="883" spans="4:4" ht="15" customHeight="1" x14ac:dyDescent="0.2">
      <c r="D883" s="43"/>
    </row>
    <row r="884" spans="4:4" ht="15" customHeight="1" x14ac:dyDescent="0.2">
      <c r="D884" s="43"/>
    </row>
    <row r="885" spans="4:4" ht="15" customHeight="1" x14ac:dyDescent="0.2">
      <c r="D885" s="43"/>
    </row>
    <row r="886" spans="4:4" ht="15" customHeight="1" x14ac:dyDescent="0.2">
      <c r="D886" s="43"/>
    </row>
    <row r="887" spans="4:4" ht="15" customHeight="1" x14ac:dyDescent="0.2">
      <c r="D887" s="43"/>
    </row>
    <row r="888" spans="4:4" ht="15" customHeight="1" x14ac:dyDescent="0.2">
      <c r="D888" s="43"/>
    </row>
    <row r="889" spans="4:4" ht="15" customHeight="1" x14ac:dyDescent="0.2">
      <c r="D889" s="43"/>
    </row>
    <row r="890" spans="4:4" ht="15" customHeight="1" x14ac:dyDescent="0.2">
      <c r="D890" s="43"/>
    </row>
    <row r="891" spans="4:4" ht="15" customHeight="1" x14ac:dyDescent="0.2">
      <c r="D891" s="43"/>
    </row>
    <row r="892" spans="4:4" ht="15" customHeight="1" x14ac:dyDescent="0.2">
      <c r="D892" s="43"/>
    </row>
    <row r="893" spans="4:4" ht="15" customHeight="1" x14ac:dyDescent="0.2">
      <c r="D893" s="43"/>
    </row>
    <row r="894" spans="4:4" ht="15" customHeight="1" x14ac:dyDescent="0.2">
      <c r="D894" s="43"/>
    </row>
    <row r="895" spans="4:4" ht="15" customHeight="1" x14ac:dyDescent="0.2">
      <c r="D895" s="43"/>
    </row>
    <row r="896" spans="4:4" ht="15" customHeight="1" x14ac:dyDescent="0.2">
      <c r="D896" s="43"/>
    </row>
    <row r="897" spans="4:4" ht="15" customHeight="1" x14ac:dyDescent="0.2">
      <c r="D897" s="43"/>
    </row>
    <row r="898" spans="4:4" ht="15" customHeight="1" x14ac:dyDescent="0.2">
      <c r="D898" s="43"/>
    </row>
    <row r="899" spans="4:4" ht="15" customHeight="1" x14ac:dyDescent="0.2">
      <c r="D899" s="43"/>
    </row>
    <row r="900" spans="4:4" ht="15" customHeight="1" x14ac:dyDescent="0.2">
      <c r="D900" s="43"/>
    </row>
    <row r="901" spans="4:4" ht="15" customHeight="1" x14ac:dyDescent="0.2">
      <c r="D901" s="43"/>
    </row>
    <row r="902" spans="4:4" ht="15" customHeight="1" x14ac:dyDescent="0.2">
      <c r="D902" s="43"/>
    </row>
    <row r="903" spans="4:4" ht="15" customHeight="1" x14ac:dyDescent="0.2">
      <c r="D903" s="43"/>
    </row>
    <row r="904" spans="4:4" ht="15" customHeight="1" x14ac:dyDescent="0.2">
      <c r="D904" s="43"/>
    </row>
    <row r="905" spans="4:4" ht="15" customHeight="1" x14ac:dyDescent="0.2">
      <c r="D905" s="43"/>
    </row>
    <row r="906" spans="4:4" ht="15" customHeight="1" x14ac:dyDescent="0.2">
      <c r="D906" s="43"/>
    </row>
    <row r="907" spans="4:4" ht="15" customHeight="1" x14ac:dyDescent="0.2">
      <c r="D907" s="43"/>
    </row>
    <row r="908" spans="4:4" ht="15" customHeight="1" x14ac:dyDescent="0.2">
      <c r="D908" s="43"/>
    </row>
    <row r="909" spans="4:4" ht="15" customHeight="1" x14ac:dyDescent="0.2">
      <c r="D909" s="43"/>
    </row>
    <row r="910" spans="4:4" ht="15" customHeight="1" x14ac:dyDescent="0.2">
      <c r="D910" s="43"/>
    </row>
    <row r="911" spans="4:4" ht="15" customHeight="1" x14ac:dyDescent="0.2">
      <c r="D911" s="43"/>
    </row>
    <row r="912" spans="4:4" ht="15" customHeight="1" x14ac:dyDescent="0.2">
      <c r="D912" s="43"/>
    </row>
    <row r="913" spans="4:4" ht="15" customHeight="1" x14ac:dyDescent="0.2">
      <c r="D913" s="43"/>
    </row>
    <row r="914" spans="4:4" ht="15" customHeight="1" x14ac:dyDescent="0.2">
      <c r="D914" s="43"/>
    </row>
    <row r="915" spans="4:4" ht="15" customHeight="1" x14ac:dyDescent="0.2">
      <c r="D915" s="43"/>
    </row>
    <row r="916" spans="4:4" ht="15" customHeight="1" x14ac:dyDescent="0.2">
      <c r="D916" s="43"/>
    </row>
    <row r="917" spans="4:4" ht="15" customHeight="1" x14ac:dyDescent="0.2">
      <c r="D917" s="43"/>
    </row>
    <row r="918" spans="4:4" ht="15" customHeight="1" x14ac:dyDescent="0.2">
      <c r="D918" s="43"/>
    </row>
    <row r="919" spans="4:4" ht="15" customHeight="1" x14ac:dyDescent="0.2">
      <c r="D919" s="43"/>
    </row>
    <row r="920" spans="4:4" ht="15" customHeight="1" x14ac:dyDescent="0.2">
      <c r="D920" s="43"/>
    </row>
    <row r="921" spans="4:4" ht="15" customHeight="1" x14ac:dyDescent="0.2">
      <c r="D921" s="43"/>
    </row>
    <row r="922" spans="4:4" ht="15" customHeight="1" x14ac:dyDescent="0.2">
      <c r="D922" s="43"/>
    </row>
    <row r="923" spans="4:4" ht="15" customHeight="1" x14ac:dyDescent="0.2">
      <c r="D923" s="43"/>
    </row>
    <row r="924" spans="4:4" ht="15" customHeight="1" x14ac:dyDescent="0.2">
      <c r="D924" s="43"/>
    </row>
    <row r="925" spans="4:4" ht="15" customHeight="1" x14ac:dyDescent="0.2">
      <c r="D925" s="43"/>
    </row>
    <row r="926" spans="4:4" ht="15" customHeight="1" x14ac:dyDescent="0.2">
      <c r="D926" s="43"/>
    </row>
    <row r="927" spans="4:4" ht="15" customHeight="1" x14ac:dyDescent="0.2">
      <c r="D927" s="43"/>
    </row>
    <row r="928" spans="4:4" ht="15" customHeight="1" x14ac:dyDescent="0.2">
      <c r="D928" s="43"/>
    </row>
    <row r="929" spans="4:4" ht="15" customHeight="1" x14ac:dyDescent="0.2">
      <c r="D929" s="43"/>
    </row>
    <row r="930" spans="4:4" ht="15" customHeight="1" x14ac:dyDescent="0.2">
      <c r="D930" s="43"/>
    </row>
    <row r="931" spans="4:4" ht="15" customHeight="1" x14ac:dyDescent="0.2">
      <c r="D931" s="43"/>
    </row>
    <row r="932" spans="4:4" ht="15" customHeight="1" x14ac:dyDescent="0.2">
      <c r="D932" s="43"/>
    </row>
    <row r="933" spans="4:4" ht="15" customHeight="1" x14ac:dyDescent="0.2">
      <c r="D933" s="43"/>
    </row>
    <row r="934" spans="4:4" ht="15" customHeight="1" x14ac:dyDescent="0.2">
      <c r="D934" s="43"/>
    </row>
    <row r="935" spans="4:4" ht="15" customHeight="1" x14ac:dyDescent="0.2">
      <c r="D935" s="43"/>
    </row>
    <row r="936" spans="4:4" ht="15" customHeight="1" x14ac:dyDescent="0.2">
      <c r="D936" s="43"/>
    </row>
    <row r="937" spans="4:4" ht="15" customHeight="1" x14ac:dyDescent="0.2">
      <c r="D937" s="43"/>
    </row>
    <row r="938" spans="4:4" ht="15" customHeight="1" x14ac:dyDescent="0.2">
      <c r="D938" s="43"/>
    </row>
    <row r="939" spans="4:4" ht="15" customHeight="1" x14ac:dyDescent="0.2">
      <c r="D939" s="43"/>
    </row>
    <row r="940" spans="4:4" ht="15" customHeight="1" x14ac:dyDescent="0.2">
      <c r="D940" s="43"/>
    </row>
    <row r="941" spans="4:4" ht="15" customHeight="1" x14ac:dyDescent="0.2">
      <c r="D941" s="43"/>
    </row>
    <row r="942" spans="4:4" ht="15" customHeight="1" x14ac:dyDescent="0.2">
      <c r="D942" s="43"/>
    </row>
    <row r="943" spans="4:4" ht="15" customHeight="1" x14ac:dyDescent="0.2">
      <c r="D943" s="43"/>
    </row>
    <row r="944" spans="4:4" ht="15" customHeight="1" x14ac:dyDescent="0.2">
      <c r="D944" s="43"/>
    </row>
    <row r="945" spans="4:4" ht="15" customHeight="1" x14ac:dyDescent="0.2">
      <c r="D945" s="43"/>
    </row>
    <row r="946" spans="4:4" ht="15" customHeight="1" x14ac:dyDescent="0.2">
      <c r="D946" s="43"/>
    </row>
    <row r="947" spans="4:4" ht="15" customHeight="1" x14ac:dyDescent="0.2">
      <c r="D947" s="43"/>
    </row>
    <row r="948" spans="4:4" ht="15" customHeight="1" x14ac:dyDescent="0.2">
      <c r="D948" s="43"/>
    </row>
    <row r="949" spans="4:4" ht="15" customHeight="1" x14ac:dyDescent="0.2">
      <c r="D949" s="43"/>
    </row>
    <row r="950" spans="4:4" ht="15" customHeight="1" x14ac:dyDescent="0.2">
      <c r="D950" s="43"/>
    </row>
    <row r="951" spans="4:4" ht="15" customHeight="1" x14ac:dyDescent="0.2">
      <c r="D951" s="43"/>
    </row>
    <row r="952" spans="4:4" ht="15" customHeight="1" x14ac:dyDescent="0.2">
      <c r="D952" s="43"/>
    </row>
    <row r="953" spans="4:4" ht="15" customHeight="1" x14ac:dyDescent="0.2">
      <c r="D953" s="43"/>
    </row>
    <row r="954" spans="4:4" ht="15" customHeight="1" x14ac:dyDescent="0.2">
      <c r="D954" s="43"/>
    </row>
    <row r="955" spans="4:4" ht="15" customHeight="1" x14ac:dyDescent="0.2">
      <c r="D955" s="43"/>
    </row>
    <row r="956" spans="4:4" ht="15" customHeight="1" x14ac:dyDescent="0.2">
      <c r="D956" s="43"/>
    </row>
    <row r="957" spans="4:4" ht="15" customHeight="1" x14ac:dyDescent="0.2">
      <c r="D957" s="43"/>
    </row>
    <row r="958" spans="4:4" ht="15" customHeight="1" x14ac:dyDescent="0.2">
      <c r="D958" s="43"/>
    </row>
    <row r="959" spans="4:4" ht="15" customHeight="1" x14ac:dyDescent="0.2">
      <c r="D959" s="43"/>
    </row>
    <row r="960" spans="4:4" ht="15" customHeight="1" x14ac:dyDescent="0.2">
      <c r="D960" s="43"/>
    </row>
    <row r="961" spans="4:4" ht="15" customHeight="1" x14ac:dyDescent="0.2">
      <c r="D961" s="43"/>
    </row>
    <row r="962" spans="4:4" ht="15" customHeight="1" x14ac:dyDescent="0.2">
      <c r="D962" s="43"/>
    </row>
    <row r="963" spans="4:4" ht="15" customHeight="1" x14ac:dyDescent="0.2">
      <c r="D963" s="43"/>
    </row>
    <row r="964" spans="4:4" ht="15" customHeight="1" x14ac:dyDescent="0.2">
      <c r="D964" s="43"/>
    </row>
    <row r="965" spans="4:4" ht="15" customHeight="1" x14ac:dyDescent="0.2">
      <c r="D965" s="43"/>
    </row>
    <row r="966" spans="4:4" ht="15" customHeight="1" x14ac:dyDescent="0.2">
      <c r="D966" s="43"/>
    </row>
    <row r="967" spans="4:4" ht="15" customHeight="1" x14ac:dyDescent="0.2">
      <c r="D967" s="43"/>
    </row>
    <row r="968" spans="4:4" ht="15" customHeight="1" x14ac:dyDescent="0.2">
      <c r="D968" s="43"/>
    </row>
    <row r="969" spans="4:4" ht="15" customHeight="1" x14ac:dyDescent="0.2">
      <c r="D969" s="43"/>
    </row>
    <row r="970" spans="4:4" ht="15" customHeight="1" x14ac:dyDescent="0.2">
      <c r="D970" s="43"/>
    </row>
    <row r="971" spans="4:4" ht="15" customHeight="1" x14ac:dyDescent="0.2">
      <c r="D971" s="43"/>
    </row>
    <row r="972" spans="4:4" ht="15" customHeight="1" x14ac:dyDescent="0.2">
      <c r="D972" s="43"/>
    </row>
    <row r="973" spans="4:4" ht="15" customHeight="1" x14ac:dyDescent="0.2">
      <c r="D973" s="43"/>
    </row>
    <row r="974" spans="4:4" ht="15" customHeight="1" x14ac:dyDescent="0.2">
      <c r="D974" s="43"/>
    </row>
    <row r="975" spans="4:4" ht="15" customHeight="1" x14ac:dyDescent="0.2">
      <c r="D975" s="43"/>
    </row>
    <row r="976" spans="4:4" ht="15" customHeight="1" x14ac:dyDescent="0.2">
      <c r="D976" s="43"/>
    </row>
    <row r="977" spans="4:4" ht="15" customHeight="1" x14ac:dyDescent="0.2">
      <c r="D977" s="43"/>
    </row>
    <row r="978" spans="4:4" ht="15" customHeight="1" x14ac:dyDescent="0.2">
      <c r="D978" s="43"/>
    </row>
    <row r="979" spans="4:4" ht="15" customHeight="1" x14ac:dyDescent="0.2">
      <c r="D979" s="43"/>
    </row>
    <row r="980" spans="4:4" ht="15" customHeight="1" x14ac:dyDescent="0.2">
      <c r="D980" s="43"/>
    </row>
    <row r="981" spans="4:4" ht="15" customHeight="1" x14ac:dyDescent="0.2">
      <c r="D981" s="43"/>
    </row>
    <row r="982" spans="4:4" ht="15" customHeight="1" x14ac:dyDescent="0.2">
      <c r="D982" s="43"/>
    </row>
    <row r="983" spans="4:4" ht="15" customHeight="1" x14ac:dyDescent="0.2">
      <c r="D983" s="43"/>
    </row>
    <row r="984" spans="4:4" ht="15" customHeight="1" x14ac:dyDescent="0.2">
      <c r="D984" s="43"/>
    </row>
    <row r="985" spans="4:4" ht="15" customHeight="1" x14ac:dyDescent="0.2">
      <c r="D985" s="43"/>
    </row>
    <row r="986" spans="4:4" ht="15" customHeight="1" x14ac:dyDescent="0.2">
      <c r="D986" s="43"/>
    </row>
    <row r="987" spans="4:4" ht="15" customHeight="1" x14ac:dyDescent="0.2">
      <c r="D987" s="43"/>
    </row>
    <row r="988" spans="4:4" ht="15" customHeight="1" x14ac:dyDescent="0.2">
      <c r="D988" s="43"/>
    </row>
    <row r="989" spans="4:4" ht="15" customHeight="1" x14ac:dyDescent="0.2">
      <c r="D989" s="43"/>
    </row>
    <row r="990" spans="4:4" ht="15" customHeight="1" x14ac:dyDescent="0.2">
      <c r="D990" s="43"/>
    </row>
    <row r="991" spans="4:4" ht="15" customHeight="1" x14ac:dyDescent="0.2">
      <c r="D991" s="43"/>
    </row>
    <row r="992" spans="4:4" ht="15" customHeight="1" x14ac:dyDescent="0.2">
      <c r="D992" s="43"/>
    </row>
    <row r="993" spans="4:4" ht="15" customHeight="1" x14ac:dyDescent="0.2">
      <c r="D993" s="43"/>
    </row>
    <row r="994" spans="4:4" ht="15" customHeight="1" x14ac:dyDescent="0.2">
      <c r="D994" s="43"/>
    </row>
    <row r="995" spans="4:4" ht="15" customHeight="1" x14ac:dyDescent="0.2">
      <c r="D995" s="43"/>
    </row>
    <row r="996" spans="4:4" ht="15" customHeight="1" x14ac:dyDescent="0.2">
      <c r="D996" s="43"/>
    </row>
    <row r="997" spans="4:4" ht="15" customHeight="1" x14ac:dyDescent="0.2">
      <c r="D997" s="43"/>
    </row>
    <row r="998" spans="4:4" ht="15" customHeight="1" x14ac:dyDescent="0.2">
      <c r="D998" s="43"/>
    </row>
    <row r="999" spans="4:4" ht="15" customHeight="1" x14ac:dyDescent="0.2">
      <c r="D999" s="43"/>
    </row>
    <row r="1000" spans="4:4" ht="15" customHeight="1" x14ac:dyDescent="0.2">
      <c r="D1000" s="43"/>
    </row>
    <row r="1001" spans="4:4" ht="15" customHeight="1" x14ac:dyDescent="0.2">
      <c r="D1001" s="43"/>
    </row>
    <row r="1002" spans="4:4" ht="15" customHeight="1" x14ac:dyDescent="0.2">
      <c r="D1002" s="43"/>
    </row>
    <row r="1003" spans="4:4" ht="15" customHeight="1" x14ac:dyDescent="0.2">
      <c r="D1003" s="43"/>
    </row>
    <row r="1004" spans="4:4" ht="15" customHeight="1" x14ac:dyDescent="0.2">
      <c r="D1004" s="43"/>
    </row>
    <row r="1005" spans="4:4" ht="15" customHeight="1" x14ac:dyDescent="0.2">
      <c r="D1005" s="43"/>
    </row>
    <row r="1006" spans="4:4" ht="15" customHeight="1" x14ac:dyDescent="0.2">
      <c r="D1006" s="43"/>
    </row>
    <row r="1007" spans="4:4" ht="15" customHeight="1" x14ac:dyDescent="0.2">
      <c r="D1007" s="43"/>
    </row>
    <row r="1008" spans="4:4" ht="15" customHeight="1" x14ac:dyDescent="0.2">
      <c r="D1008" s="43"/>
    </row>
    <row r="1009" spans="4:4" ht="15" customHeight="1" x14ac:dyDescent="0.2">
      <c r="D1009" s="43"/>
    </row>
    <row r="1010" spans="4:4" ht="15" customHeight="1" x14ac:dyDescent="0.2">
      <c r="D1010" s="43"/>
    </row>
    <row r="1011" spans="4:4" ht="15" customHeight="1" x14ac:dyDescent="0.2">
      <c r="D1011" s="43"/>
    </row>
    <row r="1012" spans="4:4" ht="15" customHeight="1" x14ac:dyDescent="0.2">
      <c r="D1012" s="43"/>
    </row>
    <row r="1013" spans="4:4" ht="15" customHeight="1" x14ac:dyDescent="0.2">
      <c r="D1013" s="43"/>
    </row>
    <row r="1014" spans="4:4" ht="15" customHeight="1" x14ac:dyDescent="0.2">
      <c r="D1014" s="43"/>
    </row>
    <row r="1015" spans="4:4" ht="15" customHeight="1" x14ac:dyDescent="0.2">
      <c r="D1015" s="43"/>
    </row>
    <row r="1016" spans="4:4" ht="15" customHeight="1" x14ac:dyDescent="0.2">
      <c r="D1016" s="43"/>
    </row>
    <row r="1017" spans="4:4" ht="15" customHeight="1" x14ac:dyDescent="0.2">
      <c r="D1017" s="43"/>
    </row>
    <row r="1018" spans="4:4" ht="15" customHeight="1" x14ac:dyDescent="0.2">
      <c r="D1018" s="43"/>
    </row>
    <row r="1019" spans="4:4" ht="15" customHeight="1" x14ac:dyDescent="0.2">
      <c r="D1019" s="43"/>
    </row>
    <row r="1020" spans="4:4" ht="15" customHeight="1" x14ac:dyDescent="0.2">
      <c r="D1020" s="43"/>
    </row>
    <row r="1021" spans="4:4" ht="15" customHeight="1" x14ac:dyDescent="0.2">
      <c r="D1021" s="43"/>
    </row>
    <row r="1022" spans="4:4" ht="15" customHeight="1" x14ac:dyDescent="0.2">
      <c r="D1022" s="43"/>
    </row>
    <row r="1023" spans="4:4" ht="15" customHeight="1" x14ac:dyDescent="0.2">
      <c r="D1023" s="43"/>
    </row>
    <row r="1024" spans="4:4" ht="15" customHeight="1" x14ac:dyDescent="0.2">
      <c r="D1024" s="43"/>
    </row>
    <row r="1025" spans="4:4" ht="15" customHeight="1" x14ac:dyDescent="0.2">
      <c r="D1025" s="43"/>
    </row>
    <row r="1026" spans="4:4" ht="15" customHeight="1" x14ac:dyDescent="0.2">
      <c r="D1026" s="43"/>
    </row>
    <row r="1027" spans="4:4" ht="15" customHeight="1" x14ac:dyDescent="0.2">
      <c r="D1027" s="43"/>
    </row>
    <row r="1028" spans="4:4" ht="15" customHeight="1" x14ac:dyDescent="0.2">
      <c r="D1028" s="43"/>
    </row>
    <row r="1029" spans="4:4" ht="15" customHeight="1" x14ac:dyDescent="0.2">
      <c r="D1029" s="43"/>
    </row>
    <row r="1030" spans="4:4" ht="15" customHeight="1" x14ac:dyDescent="0.2">
      <c r="D1030" s="43"/>
    </row>
    <row r="1031" spans="4:4" ht="15" customHeight="1" x14ac:dyDescent="0.2">
      <c r="D1031" s="43"/>
    </row>
    <row r="1032" spans="4:4" ht="15" customHeight="1" x14ac:dyDescent="0.2">
      <c r="D1032" s="43"/>
    </row>
    <row r="1033" spans="4:4" ht="15" customHeight="1" x14ac:dyDescent="0.2">
      <c r="D1033" s="43"/>
    </row>
    <row r="1034" spans="4:4" ht="15" customHeight="1" x14ac:dyDescent="0.2">
      <c r="D1034" s="43"/>
    </row>
    <row r="1035" spans="4:4" ht="15" customHeight="1" x14ac:dyDescent="0.2">
      <c r="D1035" s="43"/>
    </row>
    <row r="1036" spans="4:4" ht="15" customHeight="1" x14ac:dyDescent="0.2">
      <c r="D1036" s="43"/>
    </row>
    <row r="1037" spans="4:4" ht="15" customHeight="1" x14ac:dyDescent="0.2">
      <c r="D1037" s="43"/>
    </row>
    <row r="1038" spans="4:4" ht="15" customHeight="1" x14ac:dyDescent="0.2">
      <c r="D1038" s="43"/>
    </row>
    <row r="1039" spans="4:4" ht="15" customHeight="1" x14ac:dyDescent="0.2">
      <c r="D1039" s="43"/>
    </row>
    <row r="1040" spans="4:4" ht="15" customHeight="1" x14ac:dyDescent="0.2">
      <c r="D1040" s="43"/>
    </row>
    <row r="1041" spans="4:4" ht="15" customHeight="1" x14ac:dyDescent="0.2">
      <c r="D1041" s="43"/>
    </row>
    <row r="1042" spans="4:4" ht="15" customHeight="1" x14ac:dyDescent="0.2">
      <c r="D1042" s="43"/>
    </row>
    <row r="1043" spans="4:4" ht="15" customHeight="1" x14ac:dyDescent="0.2">
      <c r="D1043" s="43"/>
    </row>
    <row r="1044" spans="4:4" ht="15" customHeight="1" x14ac:dyDescent="0.2">
      <c r="D1044" s="43"/>
    </row>
    <row r="1045" spans="4:4" ht="15" customHeight="1" x14ac:dyDescent="0.2">
      <c r="D1045" s="43"/>
    </row>
    <row r="1046" spans="4:4" ht="15" customHeight="1" x14ac:dyDescent="0.2">
      <c r="D1046" s="43"/>
    </row>
    <row r="1047" spans="4:4" ht="15" customHeight="1" x14ac:dyDescent="0.2">
      <c r="D1047" s="43"/>
    </row>
    <row r="1048" spans="4:4" ht="15" customHeight="1" x14ac:dyDescent="0.2">
      <c r="D1048" s="43"/>
    </row>
    <row r="1049" spans="4:4" ht="15" customHeight="1" x14ac:dyDescent="0.2">
      <c r="D1049" s="43"/>
    </row>
    <row r="1050" spans="4:4" ht="15" customHeight="1" x14ac:dyDescent="0.2">
      <c r="D1050" s="43"/>
    </row>
    <row r="1051" spans="4:4" ht="15" customHeight="1" x14ac:dyDescent="0.2">
      <c r="D1051" s="43"/>
    </row>
    <row r="1052" spans="4:4" ht="15" customHeight="1" x14ac:dyDescent="0.2">
      <c r="D1052" s="43"/>
    </row>
    <row r="1053" spans="4:4" ht="15" customHeight="1" x14ac:dyDescent="0.2">
      <c r="D1053" s="43"/>
    </row>
    <row r="1054" spans="4:4" ht="15" customHeight="1" x14ac:dyDescent="0.2">
      <c r="D1054" s="43"/>
    </row>
    <row r="1055" spans="4:4" ht="15" customHeight="1" x14ac:dyDescent="0.2">
      <c r="D1055" s="43"/>
    </row>
    <row r="1056" spans="4:4" ht="15" customHeight="1" x14ac:dyDescent="0.2">
      <c r="D1056" s="43"/>
    </row>
    <row r="1057" spans="4:4" ht="15" customHeight="1" x14ac:dyDescent="0.2">
      <c r="D1057" s="43"/>
    </row>
    <row r="1058" spans="4:4" ht="15" customHeight="1" x14ac:dyDescent="0.2">
      <c r="D1058" s="43"/>
    </row>
    <row r="1059" spans="4:4" ht="15" customHeight="1" x14ac:dyDescent="0.2">
      <c r="D1059" s="43"/>
    </row>
    <row r="1060" spans="4:4" ht="15" customHeight="1" x14ac:dyDescent="0.2">
      <c r="D1060" s="43"/>
    </row>
    <row r="1061" spans="4:4" ht="15" customHeight="1" x14ac:dyDescent="0.2">
      <c r="D1061" s="43"/>
    </row>
  </sheetData>
  <mergeCells count="4">
    <mergeCell ref="B1:G1"/>
    <mergeCell ref="B2:G2"/>
    <mergeCell ref="B4:C4"/>
    <mergeCell ref="D4:E4"/>
  </mergeCells>
  <phoneticPr fontId="0" type="noConversion"/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&amp;R&amp;"Cambria,Félkövér"&amp;16 18. melléklet
</oddHeader>
  </headerFooter>
  <rowBreaks count="3" manualBreakCount="3">
    <brk id="52" min="1" max="6" man="1"/>
    <brk id="96" min="1" max="6" man="1"/>
    <brk id="118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7"/>
  <sheetViews>
    <sheetView zoomScale="75" zoomScaleNormal="75" zoomScaleSheetLayoutView="50" workbookViewId="0">
      <selection activeCell="B1" sqref="B1:E1"/>
    </sheetView>
  </sheetViews>
  <sheetFormatPr defaultColWidth="12" defaultRowHeight="15" x14ac:dyDescent="0.2"/>
  <cols>
    <col min="1" max="1" width="9.1640625" style="181" customWidth="1"/>
    <col min="2" max="2" width="82.6640625" style="181" customWidth="1"/>
    <col min="3" max="3" width="24" style="181" customWidth="1"/>
    <col min="4" max="4" width="24" style="539" customWidth="1"/>
    <col min="5" max="5" width="20.6640625" style="539" bestFit="1" customWidth="1"/>
    <col min="6" max="6" width="18.5" style="539" customWidth="1"/>
    <col min="7" max="7" width="15.1640625" style="539" bestFit="1" customWidth="1"/>
    <col min="8" max="8" width="12.1640625" style="539" bestFit="1" customWidth="1"/>
    <col min="9" max="9" width="16.6640625" style="539" bestFit="1" customWidth="1"/>
    <col min="10" max="10" width="14" style="539" bestFit="1" customWidth="1"/>
    <col min="11" max="11" width="19.5" style="539" customWidth="1"/>
    <col min="12" max="12" width="12.1640625" style="539" bestFit="1" customWidth="1"/>
    <col min="13" max="15" width="12" style="539"/>
    <col min="16" max="16" width="22.83203125" style="539" customWidth="1"/>
    <col min="17" max="17" width="16.1640625" style="539" customWidth="1"/>
    <col min="18" max="20" width="12" style="539"/>
    <col min="21" max="16384" width="12" style="181"/>
  </cols>
  <sheetData>
    <row r="1" spans="2:12" ht="18.75" customHeight="1" x14ac:dyDescent="0.2"/>
    <row r="2" spans="2:12" ht="18.75" customHeight="1" x14ac:dyDescent="0.2"/>
    <row r="3" spans="2:12" ht="33.75" customHeight="1" x14ac:dyDescent="0.2"/>
    <row r="4" spans="2:12" ht="40.5" customHeight="1" x14ac:dyDescent="0.25">
      <c r="B4" s="2711" t="s">
        <v>654</v>
      </c>
      <c r="C4" s="2711"/>
    </row>
    <row r="5" spans="2:12" ht="43.5" customHeight="1" thickBot="1" x14ac:dyDescent="0.25">
      <c r="C5" s="540" t="s">
        <v>38</v>
      </c>
    </row>
    <row r="6" spans="2:12" s="539" customFormat="1" ht="39.950000000000003" customHeight="1" x14ac:dyDescent="0.2">
      <c r="B6" s="541" t="s">
        <v>655</v>
      </c>
      <c r="C6" s="542">
        <v>2415197</v>
      </c>
      <c r="E6" s="543"/>
      <c r="G6" s="544"/>
      <c r="H6" s="544"/>
      <c r="I6" s="544"/>
      <c r="J6" s="544"/>
      <c r="K6" s="544"/>
      <c r="L6" s="544"/>
    </row>
    <row r="7" spans="2:12" s="547" customFormat="1" ht="39.950000000000003" customHeight="1" x14ac:dyDescent="0.25">
      <c r="B7" s="545" t="s">
        <v>656</v>
      </c>
      <c r="C7" s="546">
        <f>+'1 kiemelt előirányzatok telj. '!E20</f>
        <v>29050027</v>
      </c>
      <c r="E7" s="548"/>
      <c r="G7" s="549"/>
      <c r="H7" s="549"/>
      <c r="I7" s="549"/>
      <c r="J7" s="549"/>
      <c r="K7" s="544"/>
      <c r="L7" s="549"/>
    </row>
    <row r="8" spans="2:12" s="539" customFormat="1" ht="39.950000000000003" customHeight="1" x14ac:dyDescent="0.2">
      <c r="B8" s="550" t="s">
        <v>657</v>
      </c>
      <c r="C8" s="551">
        <f>29470-23105+232719-10121-268164+276169-338+2</f>
        <v>236632</v>
      </c>
      <c r="E8" s="552"/>
      <c r="G8" s="544"/>
      <c r="H8" s="544"/>
      <c r="I8" s="544"/>
      <c r="J8" s="544"/>
      <c r="K8" s="544"/>
      <c r="L8" s="544"/>
    </row>
    <row r="9" spans="2:12" s="539" customFormat="1" ht="39.950000000000003" customHeight="1" x14ac:dyDescent="0.2">
      <c r="B9" s="553" t="s">
        <v>1312</v>
      </c>
      <c r="C9" s="554">
        <v>-2409223</v>
      </c>
      <c r="E9" s="552"/>
      <c r="G9" s="544"/>
      <c r="H9" s="544"/>
      <c r="I9" s="544"/>
      <c r="J9" s="544"/>
      <c r="K9" s="544"/>
      <c r="L9" s="544"/>
    </row>
    <row r="10" spans="2:12" s="547" customFormat="1" ht="39.950000000000003" customHeight="1" x14ac:dyDescent="0.25">
      <c r="B10" s="545" t="s">
        <v>658</v>
      </c>
      <c r="C10" s="546">
        <f>-'1 kiemelt előirányzatok telj. '!J20</f>
        <v>-17545816</v>
      </c>
      <c r="E10" s="548"/>
      <c r="G10" s="549"/>
      <c r="H10" s="549"/>
      <c r="I10" s="549"/>
      <c r="J10" s="549"/>
      <c r="K10" s="544"/>
      <c r="L10" s="549"/>
    </row>
    <row r="11" spans="2:12" s="539" customFormat="1" ht="39.950000000000003" customHeight="1" thickBot="1" x14ac:dyDescent="0.25">
      <c r="B11" s="555" t="s">
        <v>659</v>
      </c>
      <c r="C11" s="556">
        <f>SUM(C6:C10)</f>
        <v>11746817</v>
      </c>
      <c r="D11" s="544"/>
      <c r="E11" s="557"/>
      <c r="F11" s="544"/>
      <c r="G11" s="544"/>
      <c r="H11" s="544"/>
      <c r="I11" s="544"/>
      <c r="J11" s="544"/>
      <c r="K11" s="544"/>
      <c r="L11" s="544"/>
    </row>
    <row r="12" spans="2:12" ht="39.950000000000003" customHeight="1" x14ac:dyDescent="0.2">
      <c r="B12" s="558" t="s">
        <v>660</v>
      </c>
      <c r="C12" s="559"/>
      <c r="D12" s="544"/>
      <c r="E12" s="395"/>
      <c r="G12" s="544"/>
      <c r="H12" s="544"/>
      <c r="I12" s="544"/>
      <c r="J12" s="544"/>
      <c r="K12" s="544"/>
      <c r="L12" s="544"/>
    </row>
    <row r="13" spans="2:12" ht="39.950000000000003" customHeight="1" x14ac:dyDescent="0.2">
      <c r="B13" s="560" t="s">
        <v>661</v>
      </c>
      <c r="C13" s="561">
        <v>142004</v>
      </c>
      <c r="E13" s="395"/>
      <c r="G13" s="544"/>
      <c r="H13" s="544"/>
      <c r="I13" s="544"/>
    </row>
    <row r="14" spans="2:12" ht="39.950000000000003" customHeight="1" thickBot="1" x14ac:dyDescent="0.25">
      <c r="B14" s="562" t="s">
        <v>662</v>
      </c>
      <c r="C14" s="563">
        <v>11604813</v>
      </c>
      <c r="D14" s="544">
        <f>SUM(C13:C14)</f>
        <v>11746817</v>
      </c>
      <c r="E14" s="395"/>
    </row>
    <row r="15" spans="2:12" ht="35.1" customHeight="1" x14ac:dyDescent="0.2">
      <c r="D15" s="544">
        <f>+D14-C11</f>
        <v>0</v>
      </c>
    </row>
    <row r="16" spans="2:12" s="539" customFormat="1" ht="35.1" customHeight="1" x14ac:dyDescent="0.2"/>
    <row r="17" spans="2:3" s="539" customFormat="1" ht="35.1" customHeight="1" x14ac:dyDescent="0.2"/>
    <row r="18" spans="2:3" s="539" customFormat="1" ht="35.1" customHeight="1" x14ac:dyDescent="0.2"/>
    <row r="19" spans="2:3" s="539" customFormat="1" ht="35.1" customHeight="1" x14ac:dyDescent="0.2"/>
    <row r="20" spans="2:3" s="539" customFormat="1" ht="35.1" customHeight="1" x14ac:dyDescent="0.2"/>
    <row r="21" spans="2:3" s="539" customFormat="1" ht="35.1" customHeight="1" x14ac:dyDescent="0.2"/>
    <row r="22" spans="2:3" s="539" customFormat="1" ht="35.1" customHeight="1" x14ac:dyDescent="0.2"/>
    <row r="23" spans="2:3" s="539" customFormat="1" ht="35.1" customHeight="1" x14ac:dyDescent="0.2"/>
    <row r="24" spans="2:3" s="539" customFormat="1" ht="35.1" customHeight="1" x14ac:dyDescent="0.2">
      <c r="B24" s="564"/>
    </row>
    <row r="25" spans="2:3" s="539" customFormat="1" ht="35.1" customHeight="1" x14ac:dyDescent="0.2">
      <c r="B25" s="564"/>
      <c r="C25" s="564"/>
    </row>
    <row r="26" spans="2:3" s="539" customFormat="1" ht="35.1" customHeight="1" x14ac:dyDescent="0.2">
      <c r="B26" s="564"/>
    </row>
    <row r="27" spans="2:3" s="539" customFormat="1" ht="35.1" customHeight="1" x14ac:dyDescent="0.2"/>
    <row r="28" spans="2:3" s="539" customFormat="1" ht="35.1" customHeight="1" x14ac:dyDescent="0.2"/>
    <row r="29" spans="2:3" s="539" customFormat="1" ht="35.1" customHeight="1" x14ac:dyDescent="0.2"/>
    <row r="30" spans="2:3" s="539" customFormat="1" ht="35.1" customHeight="1" x14ac:dyDescent="0.2"/>
    <row r="31" spans="2:3" ht="35.1" customHeight="1" x14ac:dyDescent="0.2"/>
    <row r="32" spans="2:3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63" customHeight="1" x14ac:dyDescent="0.2"/>
    <row r="50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70.5" customHeight="1" x14ac:dyDescent="0.2"/>
    <row r="85" ht="70.5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70.5" customHeight="1" x14ac:dyDescent="0.2"/>
    <row r="98" ht="70.5" customHeight="1" x14ac:dyDescent="0.2"/>
    <row r="99" ht="69" customHeight="1" x14ac:dyDescent="0.2"/>
    <row r="100" ht="35.1" customHeight="1" x14ac:dyDescent="0.2"/>
    <row r="101" ht="75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19.5" customHeight="1" x14ac:dyDescent="0.2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&amp;12 &amp;"Arial CE,Félkövér"19. melléklet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opLeftCell="A46" zoomScale="75" zoomScaleNormal="75" workbookViewId="0">
      <selection activeCell="G62" sqref="G62"/>
    </sheetView>
  </sheetViews>
  <sheetFormatPr defaultRowHeight="15" customHeight="1" x14ac:dyDescent="0.25"/>
  <cols>
    <col min="1" max="1" width="3.1640625" style="262" customWidth="1"/>
    <col min="2" max="2" width="5" style="262" customWidth="1"/>
    <col min="3" max="3" width="86.1640625" style="262" customWidth="1"/>
    <col min="4" max="4" width="25" style="262" customWidth="1"/>
    <col min="5" max="5" width="26.6640625" style="262" customWidth="1"/>
    <col min="6" max="6" width="27.83203125" style="262" customWidth="1"/>
    <col min="7" max="7" width="23.33203125" style="262" customWidth="1"/>
    <col min="8" max="8" width="8.5" style="262" customWidth="1"/>
    <col min="9" max="9" width="115.83203125" style="262" customWidth="1"/>
    <col min="10" max="10" width="26.5" style="262" customWidth="1"/>
    <col min="11" max="11" width="26" style="262" customWidth="1"/>
    <col min="12" max="12" width="26.83203125" style="262" customWidth="1"/>
    <col min="13" max="13" width="22.33203125" style="262" customWidth="1"/>
    <col min="14" max="14" width="21.33203125" style="262" bestFit="1" customWidth="1"/>
    <col min="15" max="15" width="17.5" style="262" customWidth="1"/>
    <col min="16" max="16" width="9.33203125" style="262"/>
    <col min="17" max="17" width="34.33203125" style="262" customWidth="1"/>
    <col min="18" max="16384" width="9.33203125" style="262"/>
  </cols>
  <sheetData>
    <row r="1" spans="1:13" ht="15" customHeight="1" x14ac:dyDescent="0.25">
      <c r="C1" s="263"/>
    </row>
    <row r="2" spans="1:13" ht="27.75" customHeight="1" x14ac:dyDescent="0.3">
      <c r="A2" s="2585" t="s">
        <v>393</v>
      </c>
      <c r="B2" s="2585"/>
      <c r="C2" s="2585"/>
      <c r="D2" s="2585"/>
      <c r="E2" s="2585"/>
      <c r="F2" s="2585"/>
      <c r="G2" s="2585"/>
      <c r="H2" s="2585"/>
      <c r="I2" s="2585"/>
      <c r="J2" s="2585"/>
      <c r="K2" s="2585"/>
      <c r="L2" s="2585"/>
    </row>
    <row r="3" spans="1:13" ht="15" customHeight="1" thickBot="1" x14ac:dyDescent="0.3">
      <c r="A3" s="264"/>
      <c r="B3" s="264"/>
      <c r="C3" s="264"/>
      <c r="D3" s="265"/>
      <c r="E3" s="265"/>
      <c r="F3" s="146"/>
      <c r="G3" s="146"/>
      <c r="H3" s="264"/>
      <c r="I3" s="264"/>
      <c r="J3" s="146"/>
      <c r="K3" s="146"/>
      <c r="M3" s="146" t="s">
        <v>38</v>
      </c>
    </row>
    <row r="4" spans="1:13" ht="29.25" customHeight="1" x14ac:dyDescent="0.3">
      <c r="A4" s="1327"/>
      <c r="B4" s="2105" t="s">
        <v>422</v>
      </c>
      <c r="C4" s="2105"/>
      <c r="D4" s="2586" t="s">
        <v>173</v>
      </c>
      <c r="E4" s="2586"/>
      <c r="F4" s="2161" t="s">
        <v>608</v>
      </c>
      <c r="G4" s="2162" t="s">
        <v>206</v>
      </c>
      <c r="H4" s="2147" t="s">
        <v>1433</v>
      </c>
      <c r="I4" s="2148"/>
      <c r="J4" s="2586" t="s">
        <v>173</v>
      </c>
      <c r="K4" s="2586"/>
      <c r="L4" s="2161" t="s">
        <v>608</v>
      </c>
      <c r="M4" s="2162" t="s">
        <v>206</v>
      </c>
    </row>
    <row r="5" spans="1:13" ht="21" thickBot="1" x14ac:dyDescent="0.35">
      <c r="A5" s="2106"/>
      <c r="B5" s="2107"/>
      <c r="C5" s="2107"/>
      <c r="D5" s="2168" t="s">
        <v>406</v>
      </c>
      <c r="E5" s="2168" t="s">
        <v>204</v>
      </c>
      <c r="F5" s="2169" t="s">
        <v>205</v>
      </c>
      <c r="G5" s="2170" t="s">
        <v>207</v>
      </c>
      <c r="H5" s="2149"/>
      <c r="I5" s="2143"/>
      <c r="J5" s="2168" t="s">
        <v>406</v>
      </c>
      <c r="K5" s="2168" t="s">
        <v>204</v>
      </c>
      <c r="L5" s="2169" t="s">
        <v>205</v>
      </c>
      <c r="M5" s="2170" t="s">
        <v>207</v>
      </c>
    </row>
    <row r="6" spans="1:13" ht="30" customHeight="1" x14ac:dyDescent="0.3">
      <c r="A6" s="2108" t="s">
        <v>444</v>
      </c>
      <c r="B6" s="2109"/>
      <c r="C6" s="2109"/>
      <c r="D6" s="275">
        <f>+'3 bev.részl'!G103</f>
        <v>1519030</v>
      </c>
      <c r="E6" s="275">
        <f>+'3 bev.részl'!H103</f>
        <v>2269088</v>
      </c>
      <c r="F6" s="275">
        <f>+'3 bev.részl'!I103</f>
        <v>1846970</v>
      </c>
      <c r="G6" s="309">
        <f>+F6/E6*100</f>
        <v>81.39701941925567</v>
      </c>
      <c r="H6" s="497" t="s">
        <v>24</v>
      </c>
      <c r="I6" s="2097"/>
      <c r="J6" s="289">
        <f>+'8 okt.'!D40</f>
        <v>3767623</v>
      </c>
      <c r="K6" s="289">
        <f>+'8 okt.'!E40</f>
        <v>3946987</v>
      </c>
      <c r="L6" s="289">
        <f>+'8 okt.'!F40</f>
        <v>3601646</v>
      </c>
      <c r="M6" s="299">
        <f>+L6/K6*100</f>
        <v>91.250515899849688</v>
      </c>
    </row>
    <row r="7" spans="1:13" ht="30" customHeight="1" x14ac:dyDescent="0.3">
      <c r="A7" s="2110" t="s">
        <v>329</v>
      </c>
      <c r="B7" s="1370"/>
      <c r="C7" s="1370"/>
      <c r="D7" s="276">
        <f>+'3 bev.részl'!G53</f>
        <v>3078482</v>
      </c>
      <c r="E7" s="276">
        <f>+'3 bev.részl'!H53</f>
        <v>3668486</v>
      </c>
      <c r="F7" s="276">
        <f>+'3 bev.részl'!I53</f>
        <v>3649572</v>
      </c>
      <c r="G7" s="310">
        <f>+F7/E7*100</f>
        <v>99.484419458054361</v>
      </c>
      <c r="H7" s="2098" t="s">
        <v>360</v>
      </c>
      <c r="I7" s="2099"/>
      <c r="J7" s="290">
        <f>+'9 kult.'!C87</f>
        <v>2910472</v>
      </c>
      <c r="K7" s="290">
        <f>+'9 kult.'!D87</f>
        <v>3297466</v>
      </c>
      <c r="L7" s="290">
        <f>+'9 kult.'!E87</f>
        <v>3080234</v>
      </c>
      <c r="M7" s="300">
        <f>+L7/K7*100</f>
        <v>93.41215345359133</v>
      </c>
    </row>
    <row r="8" spans="1:13" ht="30" customHeight="1" x14ac:dyDescent="0.3">
      <c r="A8" s="2098" t="s">
        <v>361</v>
      </c>
      <c r="B8" s="1370"/>
      <c r="C8" s="1370"/>
      <c r="D8" s="277">
        <f>+'3 bev.részl'!G113</f>
        <v>0</v>
      </c>
      <c r="E8" s="277">
        <f>+'3 bev.részl'!H113</f>
        <v>69486</v>
      </c>
      <c r="F8" s="277">
        <f>+'3 bev.részl'!I113</f>
        <v>29487</v>
      </c>
      <c r="G8" s="310">
        <f>+F8/E8*100</f>
        <v>42.435886365598826</v>
      </c>
      <c r="H8" s="2098" t="s">
        <v>138</v>
      </c>
      <c r="I8" s="2100"/>
      <c r="J8" s="290">
        <f>+'10 szoc.'!C32</f>
        <v>966561</v>
      </c>
      <c r="K8" s="290">
        <f>+'10 szoc.'!D32</f>
        <v>1166798</v>
      </c>
      <c r="L8" s="290">
        <f>+'10 szoc.'!E32</f>
        <v>1103440</v>
      </c>
      <c r="M8" s="300">
        <f t="shared" ref="M8:M23" si="0">+L8/K8*100</f>
        <v>94.569925556951588</v>
      </c>
    </row>
    <row r="9" spans="1:13" ht="30" customHeight="1" x14ac:dyDescent="0.3">
      <c r="A9" s="2098" t="s">
        <v>169</v>
      </c>
      <c r="B9" s="1370"/>
      <c r="C9" s="1493"/>
      <c r="D9" s="276">
        <f>+'3 bev.részl'!G70</f>
        <v>9087900</v>
      </c>
      <c r="E9" s="276">
        <f>+'3 bev.részl'!H70</f>
        <v>9387656</v>
      </c>
      <c r="F9" s="276">
        <f>+'3 bev.részl'!I70</f>
        <v>9387859</v>
      </c>
      <c r="G9" s="310">
        <f>+F9/E9*100</f>
        <v>100.00216241413192</v>
      </c>
      <c r="H9" s="2098" t="s">
        <v>160</v>
      </c>
      <c r="I9" s="2100"/>
      <c r="J9" s="290">
        <f>+'11 eü.'!C28</f>
        <v>533967</v>
      </c>
      <c r="K9" s="290">
        <f>+'11 eü.'!D28</f>
        <v>580922</v>
      </c>
      <c r="L9" s="290">
        <f>+'11 eü.'!E28</f>
        <v>538864</v>
      </c>
      <c r="M9" s="300">
        <f t="shared" si="0"/>
        <v>92.760129587104629</v>
      </c>
    </row>
    <row r="10" spans="1:13" ht="30" customHeight="1" x14ac:dyDescent="0.3">
      <c r="A10" s="2098" t="s">
        <v>63</v>
      </c>
      <c r="B10" s="1493"/>
      <c r="C10" s="1370"/>
      <c r="D10" s="277">
        <f>+'3 bev.részl'!G129</f>
        <v>1553521</v>
      </c>
      <c r="E10" s="277">
        <f>+'3 bev.részl'!H129</f>
        <v>1767637</v>
      </c>
      <c r="F10" s="277">
        <f>+'3 bev.részl'!I129</f>
        <v>1765438</v>
      </c>
      <c r="G10" s="310">
        <f>+F10/E10*100</f>
        <v>99.875596629851032</v>
      </c>
      <c r="H10" s="2098" t="s">
        <v>362</v>
      </c>
      <c r="I10" s="2100"/>
      <c r="J10" s="290">
        <f>+'12 Gyerm.'!C15</f>
        <v>550825</v>
      </c>
      <c r="K10" s="290">
        <f>+'12 Gyerm.'!D15</f>
        <v>644255</v>
      </c>
      <c r="L10" s="290">
        <f>+'12 Gyerm.'!E15</f>
        <v>641271</v>
      </c>
      <c r="M10" s="300">
        <f t="shared" si="0"/>
        <v>99.536829361044937</v>
      </c>
    </row>
    <row r="11" spans="1:13" ht="30" customHeight="1" x14ac:dyDescent="0.3">
      <c r="A11" s="1425"/>
      <c r="B11" s="497"/>
      <c r="C11" s="497"/>
      <c r="D11" s="278"/>
      <c r="E11" s="278"/>
      <c r="F11" s="278"/>
      <c r="G11" s="2096"/>
      <c r="H11" s="2098" t="s">
        <v>376</v>
      </c>
      <c r="I11" s="2099"/>
      <c r="J11" s="290">
        <f>+'13 egyéb'!C89</f>
        <v>4148501</v>
      </c>
      <c r="K11" s="290">
        <f>+'13 egyéb'!D89</f>
        <v>5015276</v>
      </c>
      <c r="L11" s="290">
        <f>+'13 egyéb'!E89</f>
        <v>4516169</v>
      </c>
      <c r="M11" s="300">
        <f t="shared" si="0"/>
        <v>90.04826454217077</v>
      </c>
    </row>
    <row r="12" spans="1:13" ht="30" customHeight="1" x14ac:dyDescent="0.3">
      <c r="A12" s="1425"/>
      <c r="B12" s="1384"/>
      <c r="C12" s="497"/>
      <c r="D12" s="278"/>
      <c r="E12" s="278"/>
      <c r="F12" s="278"/>
      <c r="G12" s="274"/>
      <c r="H12" s="2098" t="s">
        <v>405</v>
      </c>
      <c r="I12" s="1377"/>
      <c r="J12" s="290">
        <f>+'14 sport'!C32</f>
        <v>552100</v>
      </c>
      <c r="K12" s="290">
        <f>+'14 sport'!D32</f>
        <v>565888</v>
      </c>
      <c r="L12" s="290">
        <f>+'14 sport'!E32</f>
        <v>549170</v>
      </c>
      <c r="M12" s="300">
        <f t="shared" si="0"/>
        <v>97.045705157204253</v>
      </c>
    </row>
    <row r="13" spans="1:13" ht="30" customHeight="1" x14ac:dyDescent="0.3">
      <c r="A13" s="1425"/>
      <c r="B13" s="2111"/>
      <c r="C13" s="1384"/>
      <c r="D13" s="278"/>
      <c r="E13" s="278"/>
      <c r="F13" s="278"/>
      <c r="G13" s="274"/>
      <c r="H13" s="2098" t="s">
        <v>363</v>
      </c>
      <c r="I13" s="2101"/>
      <c r="J13" s="290">
        <f>+'15 város.ü.,körny'!G31</f>
        <v>1015796</v>
      </c>
      <c r="K13" s="290">
        <f>+'15 város.ü.,körny'!H31</f>
        <v>1206923</v>
      </c>
      <c r="L13" s="290">
        <f>+'15 város.ü.,körny'!I31</f>
        <v>998056</v>
      </c>
      <c r="M13" s="300">
        <f t="shared" si="0"/>
        <v>82.694256385867206</v>
      </c>
    </row>
    <row r="14" spans="1:13" ht="30" customHeight="1" x14ac:dyDescent="0.3">
      <c r="A14" s="1425"/>
      <c r="B14" s="489"/>
      <c r="C14" s="1384"/>
      <c r="D14" s="278"/>
      <c r="E14" s="278"/>
      <c r="F14" s="278"/>
      <c r="G14" s="274"/>
      <c r="H14" s="2098" t="s">
        <v>394</v>
      </c>
      <c r="I14" s="2101"/>
      <c r="J14" s="290">
        <f>+'16 út-híd'!C32</f>
        <v>229400</v>
      </c>
      <c r="K14" s="290">
        <f>+'16 út-híd'!D32</f>
        <v>313307</v>
      </c>
      <c r="L14" s="290">
        <f>+'16 út-híd'!E32</f>
        <v>254644</v>
      </c>
      <c r="M14" s="300">
        <f t="shared" si="0"/>
        <v>81.276192360847347</v>
      </c>
    </row>
    <row r="15" spans="1:13" ht="30" customHeight="1" x14ac:dyDescent="0.3">
      <c r="A15" s="1425"/>
      <c r="B15" s="2111"/>
      <c r="C15" s="1384"/>
      <c r="D15" s="278"/>
      <c r="E15" s="278"/>
      <c r="F15" s="278"/>
      <c r="G15" s="274"/>
      <c r="H15" s="1510" t="s">
        <v>109</v>
      </c>
      <c r="I15" s="497"/>
      <c r="J15" s="289"/>
      <c r="K15" s="289"/>
      <c r="L15" s="289"/>
      <c r="M15" s="300"/>
    </row>
    <row r="16" spans="1:13" ht="30" customHeight="1" x14ac:dyDescent="0.3">
      <c r="A16" s="2112"/>
      <c r="B16" s="2109"/>
      <c r="C16" s="2109"/>
      <c r="D16" s="278"/>
      <c r="E16" s="278"/>
      <c r="F16" s="278"/>
      <c r="G16" s="274"/>
      <c r="H16" s="497"/>
      <c r="I16" s="1493" t="s">
        <v>445</v>
      </c>
      <c r="J16" s="276">
        <v>138587</v>
      </c>
      <c r="K16" s="276">
        <v>0</v>
      </c>
      <c r="L16" s="276"/>
      <c r="M16" s="300"/>
    </row>
    <row r="17" spans="1:13" ht="30" customHeight="1" x14ac:dyDescent="0.3">
      <c r="A17" s="2112"/>
      <c r="B17" s="2109"/>
      <c r="C17" s="2109"/>
      <c r="D17" s="278"/>
      <c r="E17" s="278"/>
      <c r="F17" s="278"/>
      <c r="G17" s="274"/>
      <c r="H17" s="497"/>
      <c r="I17" s="1469" t="s">
        <v>468</v>
      </c>
      <c r="J17" s="276">
        <v>3868</v>
      </c>
      <c r="K17" s="276">
        <v>0</v>
      </c>
      <c r="L17" s="276"/>
      <c r="M17" s="300"/>
    </row>
    <row r="18" spans="1:13" ht="30" customHeight="1" x14ac:dyDescent="0.3">
      <c r="A18" s="2112"/>
      <c r="B18" s="2109"/>
      <c r="C18" s="2109"/>
      <c r="D18" s="278"/>
      <c r="E18" s="278"/>
      <c r="F18" s="278"/>
      <c r="G18" s="274"/>
      <c r="H18" s="497"/>
      <c r="I18" s="1469" t="s">
        <v>469</v>
      </c>
      <c r="J18" s="276">
        <v>19329</v>
      </c>
      <c r="K18" s="276">
        <v>19329</v>
      </c>
      <c r="L18" s="276"/>
      <c r="M18" s="300">
        <f t="shared" si="0"/>
        <v>0</v>
      </c>
    </row>
    <row r="19" spans="1:13" ht="30" customHeight="1" x14ac:dyDescent="0.3">
      <c r="A19" s="2113"/>
      <c r="B19" s="1384"/>
      <c r="C19" s="2111"/>
      <c r="D19" s="278"/>
      <c r="E19" s="278"/>
      <c r="F19" s="278"/>
      <c r="G19" s="274"/>
      <c r="H19" s="489"/>
      <c r="I19" s="1493" t="s">
        <v>646</v>
      </c>
      <c r="J19" s="453"/>
      <c r="K19" s="453">
        <v>31746</v>
      </c>
      <c r="L19" s="453"/>
      <c r="M19" s="300">
        <f t="shared" si="0"/>
        <v>0</v>
      </c>
    </row>
    <row r="20" spans="1:13" ht="30" customHeight="1" x14ac:dyDescent="0.3">
      <c r="A20" s="2113"/>
      <c r="B20" s="1384"/>
      <c r="C20" s="2111"/>
      <c r="D20" s="278"/>
      <c r="E20" s="278"/>
      <c r="F20" s="278"/>
      <c r="G20" s="274"/>
      <c r="H20" s="489"/>
      <c r="I20" s="1493" t="s">
        <v>647</v>
      </c>
      <c r="J20" s="453"/>
      <c r="K20" s="453">
        <v>3244</v>
      </c>
      <c r="L20" s="453"/>
      <c r="M20" s="300">
        <f t="shared" si="0"/>
        <v>0</v>
      </c>
    </row>
    <row r="21" spans="1:13" ht="30" customHeight="1" x14ac:dyDescent="0.3">
      <c r="A21" s="2113"/>
      <c r="B21" s="497"/>
      <c r="C21" s="2111"/>
      <c r="D21" s="278"/>
      <c r="E21" s="278"/>
      <c r="F21" s="278"/>
      <c r="G21" s="274"/>
      <c r="H21" s="489"/>
      <c r="I21" s="1493" t="s">
        <v>554</v>
      </c>
      <c r="J21" s="276"/>
      <c r="K21" s="276">
        <v>11259</v>
      </c>
      <c r="L21" s="276"/>
      <c r="M21" s="300">
        <f t="shared" si="0"/>
        <v>0</v>
      </c>
    </row>
    <row r="22" spans="1:13" ht="30" customHeight="1" thickBot="1" x14ac:dyDescent="0.35">
      <c r="A22" s="2113"/>
      <c r="B22" s="497"/>
      <c r="C22" s="2111"/>
      <c r="D22" s="278"/>
      <c r="E22" s="278"/>
      <c r="F22" s="278"/>
      <c r="G22" s="274"/>
      <c r="H22" s="489"/>
      <c r="I22" s="497" t="s">
        <v>651</v>
      </c>
      <c r="J22" s="275"/>
      <c r="K22" s="275">
        <v>9918</v>
      </c>
      <c r="L22" s="275"/>
      <c r="M22" s="523">
        <f t="shared" si="0"/>
        <v>0</v>
      </c>
    </row>
    <row r="23" spans="1:13" ht="30" customHeight="1" thickBot="1" x14ac:dyDescent="0.35">
      <c r="A23" s="2112"/>
      <c r="B23" s="2174"/>
      <c r="C23" s="273"/>
      <c r="D23" s="2175"/>
      <c r="E23" s="2175"/>
      <c r="F23" s="2175"/>
      <c r="G23" s="2176"/>
      <c r="H23" s="2102" t="s">
        <v>364</v>
      </c>
      <c r="I23" s="2103"/>
      <c r="J23" s="285">
        <f>SUM(J16:J22)</f>
        <v>161784</v>
      </c>
      <c r="K23" s="285">
        <f>SUM(K16:K22)</f>
        <v>75496</v>
      </c>
      <c r="L23" s="285">
        <f>SUM(L16:L22)</f>
        <v>0</v>
      </c>
      <c r="M23" s="523">
        <f t="shared" si="0"/>
        <v>0</v>
      </c>
    </row>
    <row r="24" spans="1:13" ht="30" customHeight="1" thickBot="1" x14ac:dyDescent="0.35">
      <c r="A24" s="2177" t="s">
        <v>1434</v>
      </c>
      <c r="B24" s="2159"/>
      <c r="C24" s="2178"/>
      <c r="D24" s="2179">
        <f>SUM(D6:D23)</f>
        <v>15238933</v>
      </c>
      <c r="E24" s="285">
        <f>SUM(E6:E23)</f>
        <v>17162353</v>
      </c>
      <c r="F24" s="285">
        <f>SUM(F6:F23)</f>
        <v>16679326</v>
      </c>
      <c r="G24" s="298">
        <f>+F24/E24*100</f>
        <v>97.185543264376392</v>
      </c>
      <c r="H24" s="2107" t="s">
        <v>1432</v>
      </c>
      <c r="I24" s="2114"/>
      <c r="J24" s="291">
        <f>+J23+J14+J13+J12+J11+J10+J9+J8+J7+J6</f>
        <v>14837029</v>
      </c>
      <c r="K24" s="291">
        <f>+K23+K14+K13+K12+K11+K10+K9+K8+K7+K6</f>
        <v>16813318</v>
      </c>
      <c r="L24" s="291">
        <f>+L23+L14+L13+L12+L11+L10+L9+L8+L7+L6</f>
        <v>15283494</v>
      </c>
      <c r="M24" s="301">
        <f>+L24/K24*100</f>
        <v>90.90111779245477</v>
      </c>
    </row>
    <row r="25" spans="1:13" ht="18.75" customHeight="1" thickBot="1" x14ac:dyDescent="0.35">
      <c r="A25" s="2114"/>
      <c r="B25" s="2114"/>
      <c r="C25" s="2114"/>
      <c r="D25" s="268"/>
      <c r="E25" s="268"/>
      <c r="F25" s="268"/>
      <c r="G25" s="268"/>
      <c r="H25" s="2145"/>
      <c r="I25" s="2145"/>
      <c r="J25" s="278"/>
      <c r="K25" s="278"/>
      <c r="L25" s="278"/>
      <c r="M25" s="302" t="s">
        <v>38</v>
      </c>
    </row>
    <row r="26" spans="1:13" ht="29.25" customHeight="1" x14ac:dyDescent="0.3">
      <c r="A26" s="1327"/>
      <c r="B26" s="2105"/>
      <c r="C26" s="2105" t="s">
        <v>573</v>
      </c>
      <c r="D26" s="2586" t="s">
        <v>173</v>
      </c>
      <c r="E26" s="2586"/>
      <c r="F26" s="2161" t="s">
        <v>608</v>
      </c>
      <c r="G26" s="2162" t="s">
        <v>206</v>
      </c>
      <c r="H26" s="1327"/>
      <c r="I26" s="2105" t="s">
        <v>365</v>
      </c>
      <c r="J26" s="2586" t="s">
        <v>173</v>
      </c>
      <c r="K26" s="2586"/>
      <c r="L26" s="2161" t="s">
        <v>608</v>
      </c>
      <c r="M26" s="2171" t="s">
        <v>206</v>
      </c>
    </row>
    <row r="27" spans="1:13" ht="18.75" customHeight="1" x14ac:dyDescent="0.3">
      <c r="A27" s="2115"/>
      <c r="B27" s="2116"/>
      <c r="C27" s="2116"/>
      <c r="D27" s="2163" t="s">
        <v>406</v>
      </c>
      <c r="E27" s="2163" t="s">
        <v>204</v>
      </c>
      <c r="F27" s="2164" t="s">
        <v>205</v>
      </c>
      <c r="G27" s="2165" t="s">
        <v>207</v>
      </c>
      <c r="H27" s="2115"/>
      <c r="I27" s="2116"/>
      <c r="J27" s="2163" t="s">
        <v>406</v>
      </c>
      <c r="K27" s="2163" t="s">
        <v>204</v>
      </c>
      <c r="L27" s="2164" t="s">
        <v>205</v>
      </c>
      <c r="M27" s="2172" t="s">
        <v>207</v>
      </c>
    </row>
    <row r="28" spans="1:13" ht="18.75" customHeight="1" thickBot="1" x14ac:dyDescent="0.35">
      <c r="A28" s="2117"/>
      <c r="B28" s="2104"/>
      <c r="C28" s="2104"/>
      <c r="D28" s="2166"/>
      <c r="E28" s="2166"/>
      <c r="F28" s="2166"/>
      <c r="G28" s="2167"/>
      <c r="H28" s="1332"/>
      <c r="I28" s="2150"/>
      <c r="J28" s="2166"/>
      <c r="K28" s="2166"/>
      <c r="L28" s="2166"/>
      <c r="M28" s="2173"/>
    </row>
    <row r="29" spans="1:13" ht="30" customHeight="1" x14ac:dyDescent="0.3">
      <c r="A29" s="2118" t="s">
        <v>373</v>
      </c>
      <c r="B29" s="2119"/>
      <c r="C29" s="2120"/>
      <c r="D29" s="282">
        <f>+'17 fbev.'!D41</f>
        <v>350000</v>
      </c>
      <c r="E29" s="282">
        <f>+'17 fbev.'!E41</f>
        <v>274359</v>
      </c>
      <c r="F29" s="282">
        <f>+'17 fbev.'!F41</f>
        <v>274359</v>
      </c>
      <c r="G29" s="296">
        <f>+F29/E29*100</f>
        <v>100</v>
      </c>
      <c r="H29" s="1510" t="s">
        <v>366</v>
      </c>
      <c r="I29" s="2097"/>
      <c r="J29" s="283"/>
      <c r="K29" s="283"/>
      <c r="L29" s="283"/>
      <c r="M29" s="303"/>
    </row>
    <row r="30" spans="1:13" ht="48.75" customHeight="1" x14ac:dyDescent="0.3">
      <c r="A30" s="2582" t="s">
        <v>367</v>
      </c>
      <c r="B30" s="2583"/>
      <c r="C30" s="2584"/>
      <c r="D30" s="277">
        <f>+'17 fbev.'!D34</f>
        <v>0</v>
      </c>
      <c r="E30" s="277">
        <f>+'17 fbev.'!E34</f>
        <v>13876164</v>
      </c>
      <c r="F30" s="277">
        <f>+'17 fbev.'!F34</f>
        <v>9536493</v>
      </c>
      <c r="G30" s="297">
        <f>+F30/E30*100</f>
        <v>68.725715550781914</v>
      </c>
      <c r="H30" s="2098" t="s">
        <v>24</v>
      </c>
      <c r="I30" s="2151"/>
      <c r="J30" s="292">
        <f>+'8 okt.'!D48</f>
        <v>0</v>
      </c>
      <c r="K30" s="292">
        <f>+'8 okt.'!E48</f>
        <v>293586</v>
      </c>
      <c r="L30" s="292">
        <f>+'8 okt.'!F48</f>
        <v>284284</v>
      </c>
      <c r="M30" s="300">
        <f t="shared" ref="M30:M35" si="1">+L30/K30*100</f>
        <v>96.831592787122005</v>
      </c>
    </row>
    <row r="31" spans="1:13" ht="30" customHeight="1" x14ac:dyDescent="0.3">
      <c r="A31" s="2121" t="s">
        <v>368</v>
      </c>
      <c r="B31" s="2122"/>
      <c r="C31" s="2122"/>
      <c r="D31" s="277">
        <f>+'17 fbev.'!D49</f>
        <v>37000</v>
      </c>
      <c r="E31" s="277">
        <f>+'17 fbev.'!E49</f>
        <v>42002</v>
      </c>
      <c r="F31" s="277">
        <f>+'17 fbev.'!F49</f>
        <v>43470</v>
      </c>
      <c r="G31" s="297">
        <f>+F31/E31*100</f>
        <v>103.49507166325414</v>
      </c>
      <c r="H31" s="2098" t="s">
        <v>360</v>
      </c>
      <c r="I31" s="2151"/>
      <c r="J31" s="292">
        <f>+'9 kult.'!C101</f>
        <v>15000</v>
      </c>
      <c r="K31" s="292">
        <f>+'9 kult.'!D101</f>
        <v>142478</v>
      </c>
      <c r="L31" s="292">
        <f>+'9 kult.'!E101</f>
        <v>115657</v>
      </c>
      <c r="M31" s="300">
        <f t="shared" si="1"/>
        <v>81.175339350636591</v>
      </c>
    </row>
    <row r="32" spans="1:13" ht="30" customHeight="1" x14ac:dyDescent="0.3">
      <c r="A32" s="2123" t="s">
        <v>63</v>
      </c>
      <c r="B32" s="2124"/>
      <c r="C32" s="2124"/>
      <c r="D32" s="292">
        <f>'17 fbev.'!D65</f>
        <v>1270</v>
      </c>
      <c r="E32" s="292">
        <f>'17 fbev.'!E65</f>
        <v>10076</v>
      </c>
      <c r="F32" s="292">
        <f>'17 fbev.'!F65</f>
        <v>11142</v>
      </c>
      <c r="G32" s="297">
        <f>+F32/E32*100</f>
        <v>110.57959507741167</v>
      </c>
      <c r="H32" s="2098" t="s">
        <v>138</v>
      </c>
      <c r="I32" s="2151"/>
      <c r="J32" s="292">
        <f>+'10 szoc.'!C40</f>
        <v>0</v>
      </c>
      <c r="K32" s="292">
        <f>+'10 szoc.'!D40</f>
        <v>28661</v>
      </c>
      <c r="L32" s="292">
        <f>+'10 szoc.'!E40</f>
        <v>19097</v>
      </c>
      <c r="M32" s="300">
        <f t="shared" si="1"/>
        <v>66.630613028156731</v>
      </c>
    </row>
    <row r="33" spans="1:13" ht="30" customHeight="1" x14ac:dyDescent="0.3">
      <c r="A33" s="2125"/>
      <c r="B33" s="2120"/>
      <c r="C33" s="2120"/>
      <c r="D33" s="284"/>
      <c r="E33" s="284"/>
      <c r="F33" s="284"/>
      <c r="G33" s="279"/>
      <c r="H33" s="2098" t="s">
        <v>160</v>
      </c>
      <c r="I33" s="2151"/>
      <c r="J33" s="292">
        <f>+'11 eü.'!C36</f>
        <v>1270</v>
      </c>
      <c r="K33" s="292">
        <f>+'11 eü.'!D36</f>
        <v>22068</v>
      </c>
      <c r="L33" s="292">
        <f>+'11 eü.'!E36</f>
        <v>17648</v>
      </c>
      <c r="M33" s="300">
        <f t="shared" si="1"/>
        <v>79.970998731194484</v>
      </c>
    </row>
    <row r="34" spans="1:13" ht="30" customHeight="1" x14ac:dyDescent="0.3">
      <c r="A34" s="2125"/>
      <c r="B34" s="2120"/>
      <c r="C34" s="2120"/>
      <c r="D34" s="284"/>
      <c r="E34" s="284"/>
      <c r="F34" s="284"/>
      <c r="G34" s="279"/>
      <c r="H34" s="2098" t="s">
        <v>362</v>
      </c>
      <c r="I34" s="2151"/>
      <c r="J34" s="292">
        <f>+'12 Gyerm.'!C23</f>
        <v>1903</v>
      </c>
      <c r="K34" s="292">
        <f>+'12 Gyerm.'!D23</f>
        <v>7226</v>
      </c>
      <c r="L34" s="292">
        <f>+'12 Gyerm.'!E23</f>
        <v>6313</v>
      </c>
      <c r="M34" s="300">
        <f t="shared" si="1"/>
        <v>87.365070578466657</v>
      </c>
    </row>
    <row r="35" spans="1:13" ht="30" customHeight="1" thickBot="1" x14ac:dyDescent="0.35">
      <c r="A35" s="2126"/>
      <c r="B35" s="2127"/>
      <c r="C35" s="2127"/>
      <c r="D35" s="284"/>
      <c r="E35" s="284"/>
      <c r="F35" s="284"/>
      <c r="G35" s="279"/>
      <c r="H35" s="2098" t="s">
        <v>376</v>
      </c>
      <c r="I35" s="2151"/>
      <c r="J35" s="292">
        <f>+'13 egyéb'!C97</f>
        <v>73100</v>
      </c>
      <c r="K35" s="292">
        <f>+'13 egyéb'!D97</f>
        <v>126356</v>
      </c>
      <c r="L35" s="292">
        <f>+'13 egyéb'!E97</f>
        <v>87065</v>
      </c>
      <c r="M35" s="300">
        <f t="shared" si="1"/>
        <v>68.904523726613704</v>
      </c>
    </row>
    <row r="36" spans="1:13" ht="30" customHeight="1" thickBot="1" x14ac:dyDescent="0.35">
      <c r="A36" s="2126"/>
      <c r="B36" s="2127"/>
      <c r="C36" s="2127"/>
      <c r="D36" s="284"/>
      <c r="E36" s="284"/>
      <c r="F36" s="284"/>
      <c r="G36" s="272"/>
      <c r="H36" s="2102" t="s">
        <v>369</v>
      </c>
      <c r="I36" s="2152"/>
      <c r="J36" s="293">
        <f>SUM(J29:J35)</f>
        <v>91273</v>
      </c>
      <c r="K36" s="293">
        <f>SUM(K29:K35)</f>
        <v>620375</v>
      </c>
      <c r="L36" s="293">
        <f>SUM(L29:L35)</f>
        <v>530064</v>
      </c>
      <c r="M36" s="298">
        <f>+L36/K36*100</f>
        <v>85.442514608099941</v>
      </c>
    </row>
    <row r="37" spans="1:13" ht="30" customHeight="1" x14ac:dyDescent="0.3">
      <c r="A37" s="1425"/>
      <c r="B37" s="2111"/>
      <c r="C37" s="2111"/>
      <c r="D37" s="278"/>
      <c r="E37" s="278"/>
      <c r="F37" s="278"/>
      <c r="G37" s="274"/>
      <c r="H37" s="497" t="s">
        <v>163</v>
      </c>
      <c r="I37" s="2153"/>
      <c r="J37" s="275">
        <f>+'18 fkia.'!D17</f>
        <v>119220</v>
      </c>
      <c r="K37" s="275">
        <f>+'18 fkia.'!E17</f>
        <v>250527</v>
      </c>
      <c r="L37" s="275">
        <f>+'18 fkia.'!F17</f>
        <v>200722</v>
      </c>
      <c r="M37" s="300">
        <f>+L37/K37*100</f>
        <v>80.119907235547458</v>
      </c>
    </row>
    <row r="38" spans="1:13" ht="30" customHeight="1" x14ac:dyDescent="0.3">
      <c r="A38" s="1425"/>
      <c r="B38" s="2111"/>
      <c r="C38" s="2111"/>
      <c r="D38" s="278"/>
      <c r="E38" s="278"/>
      <c r="F38" s="278"/>
      <c r="G38" s="274"/>
      <c r="H38" s="2098" t="s">
        <v>70</v>
      </c>
      <c r="I38" s="2101"/>
      <c r="J38" s="276">
        <f>+'18 fkia.'!D21</f>
        <v>100000</v>
      </c>
      <c r="K38" s="276">
        <f>+'18 fkia.'!E21</f>
        <v>742</v>
      </c>
      <c r="L38" s="276">
        <f>+'18 fkia.'!F21</f>
        <v>274</v>
      </c>
      <c r="M38" s="300">
        <f>+L38/K38*100</f>
        <v>36.927223719676547</v>
      </c>
    </row>
    <row r="39" spans="1:13" ht="30" customHeight="1" x14ac:dyDescent="0.3">
      <c r="A39" s="1425"/>
      <c r="B39" s="2111"/>
      <c r="C39" s="2111"/>
      <c r="D39" s="278"/>
      <c r="E39" s="278"/>
      <c r="F39" s="278"/>
      <c r="G39" s="274"/>
      <c r="H39" s="2098" t="s">
        <v>381</v>
      </c>
      <c r="I39" s="1377"/>
      <c r="J39" s="276">
        <f>+'18 fkia.'!D25</f>
        <v>41779</v>
      </c>
      <c r="K39" s="276">
        <f>+'18 fkia.'!E25</f>
        <v>73708</v>
      </c>
      <c r="L39" s="276">
        <f>+'18 fkia.'!F25</f>
        <v>26382</v>
      </c>
      <c r="M39" s="300">
        <f t="shared" ref="M39:M43" si="2">+L39/K39*100</f>
        <v>35.792586964779943</v>
      </c>
    </row>
    <row r="40" spans="1:13" ht="30" customHeight="1" x14ac:dyDescent="0.3">
      <c r="A40" s="1425"/>
      <c r="B40" s="2128"/>
      <c r="C40" s="2111"/>
      <c r="D40" s="278"/>
      <c r="E40" s="278"/>
      <c r="F40" s="278"/>
      <c r="G40" s="274"/>
      <c r="H40" s="2098" t="s">
        <v>402</v>
      </c>
      <c r="I40" s="1377"/>
      <c r="J40" s="276">
        <f>+'18 fkia.'!D26</f>
        <v>0</v>
      </c>
      <c r="K40" s="276">
        <f>+'18 fkia.'!E26</f>
        <v>3560</v>
      </c>
      <c r="L40" s="276">
        <f>+'18 fkia.'!F26</f>
        <v>1000</v>
      </c>
      <c r="M40" s="300">
        <f t="shared" si="2"/>
        <v>28.08988764044944</v>
      </c>
    </row>
    <row r="41" spans="1:13" ht="30" customHeight="1" x14ac:dyDescent="0.3">
      <c r="A41" s="2129"/>
      <c r="B41" s="2128"/>
      <c r="C41" s="2111"/>
      <c r="D41" s="278"/>
      <c r="E41" s="278"/>
      <c r="F41" s="278"/>
      <c r="G41" s="274"/>
      <c r="H41" s="2098" t="s">
        <v>385</v>
      </c>
      <c r="I41" s="1377"/>
      <c r="J41" s="276">
        <f>+'18 fkia.'!D33</f>
        <v>547832</v>
      </c>
      <c r="K41" s="276">
        <f>+'18 fkia.'!E33</f>
        <v>560351</v>
      </c>
      <c r="L41" s="276">
        <f>+'18 fkia.'!F33</f>
        <v>551342</v>
      </c>
      <c r="M41" s="300">
        <f t="shared" si="2"/>
        <v>98.392257709899695</v>
      </c>
    </row>
    <row r="42" spans="1:13" ht="30" customHeight="1" x14ac:dyDescent="0.3">
      <c r="A42" s="2129"/>
      <c r="B42" s="2128"/>
      <c r="C42" s="2130"/>
      <c r="D42" s="278"/>
      <c r="E42" s="278"/>
      <c r="F42" s="278"/>
      <c r="G42" s="274"/>
      <c r="H42" s="2098" t="s">
        <v>392</v>
      </c>
      <c r="I42" s="1377"/>
      <c r="J42" s="276">
        <f>+'18 fkia.'!D115</f>
        <v>670070</v>
      </c>
      <c r="K42" s="276">
        <f>+'18 fkia.'!E115</f>
        <v>15329341</v>
      </c>
      <c r="L42" s="276">
        <f>+'18 fkia.'!F115</f>
        <v>840903</v>
      </c>
      <c r="M42" s="300">
        <f t="shared" si="2"/>
        <v>5.4855782776311122</v>
      </c>
    </row>
    <row r="43" spans="1:13" ht="30" customHeight="1" x14ac:dyDescent="0.3">
      <c r="A43" s="2131"/>
      <c r="B43" s="1465"/>
      <c r="C43" s="2130"/>
      <c r="D43" s="278"/>
      <c r="E43" s="278"/>
      <c r="F43" s="278"/>
      <c r="G43" s="274"/>
      <c r="H43" s="497" t="s">
        <v>113</v>
      </c>
      <c r="I43" s="497"/>
      <c r="J43" s="275">
        <f>+'18 fkia.'!D117</f>
        <v>20000</v>
      </c>
      <c r="K43" s="275">
        <f>+'18 fkia.'!E117</f>
        <v>26346</v>
      </c>
      <c r="L43" s="275">
        <f>+'18 fkia.'!F117</f>
        <v>15726</v>
      </c>
      <c r="M43" s="300">
        <f t="shared" si="2"/>
        <v>59.690275563652925</v>
      </c>
    </row>
    <row r="44" spans="1:13" ht="30" customHeight="1" thickBot="1" x14ac:dyDescent="0.35">
      <c r="A44" s="2131"/>
      <c r="B44" s="1465"/>
      <c r="C44" s="2130"/>
      <c r="D44" s="278"/>
      <c r="E44" s="278"/>
      <c r="F44" s="278"/>
      <c r="G44" s="274"/>
      <c r="H44" s="2154" t="s">
        <v>370</v>
      </c>
      <c r="I44" s="2155"/>
      <c r="J44" s="294">
        <f>SUM(J37:J43)</f>
        <v>1498901</v>
      </c>
      <c r="K44" s="294">
        <f>SUM(K37:K43)</f>
        <v>16244575</v>
      </c>
      <c r="L44" s="294">
        <f>SUM(L37:L43)</f>
        <v>1636349</v>
      </c>
      <c r="M44" s="304">
        <f>+L44/K44*100</f>
        <v>10.073202900045091</v>
      </c>
    </row>
    <row r="45" spans="1:13" ht="30" customHeight="1" thickBot="1" x14ac:dyDescent="0.35">
      <c r="A45" s="2132" t="s">
        <v>403</v>
      </c>
      <c r="B45" s="2132"/>
      <c r="C45" s="2133"/>
      <c r="D45" s="285">
        <f>SUM(D29:D44)</f>
        <v>388270</v>
      </c>
      <c r="E45" s="285">
        <f>SUM(E29:E44)</f>
        <v>14202601</v>
      </c>
      <c r="F45" s="285">
        <f>SUM(F29:F44)</f>
        <v>9865464</v>
      </c>
      <c r="G45" s="298">
        <f>+F45/E45*100</f>
        <v>69.462375236761204</v>
      </c>
      <c r="H45" s="2156" t="s">
        <v>404</v>
      </c>
      <c r="I45" s="2156"/>
      <c r="J45" s="285">
        <f>+J44+J36</f>
        <v>1590174</v>
      </c>
      <c r="K45" s="285">
        <f>+K44+K36</f>
        <v>16864950</v>
      </c>
      <c r="L45" s="285">
        <f>+L44+L36</f>
        <v>2166413</v>
      </c>
      <c r="M45" s="298">
        <f>+L45/K45*100</f>
        <v>12.845653263128559</v>
      </c>
    </row>
    <row r="46" spans="1:13" s="266" customFormat="1" ht="18.75" customHeight="1" thickBot="1" x14ac:dyDescent="0.35">
      <c r="A46" s="2134"/>
      <c r="B46" s="2134"/>
      <c r="C46" s="2135"/>
      <c r="D46" s="286"/>
      <c r="E46" s="286"/>
      <c r="F46" s="286"/>
      <c r="G46" s="271"/>
      <c r="H46" s="2105"/>
      <c r="I46" s="2105"/>
      <c r="J46" s="295"/>
      <c r="K46" s="295"/>
      <c r="L46" s="295"/>
      <c r="M46" s="305"/>
    </row>
    <row r="47" spans="1:13" ht="30" customHeight="1" x14ac:dyDescent="0.3">
      <c r="A47" s="2136" t="s">
        <v>153</v>
      </c>
      <c r="B47" s="2137"/>
      <c r="C47" s="2138"/>
      <c r="D47" s="286"/>
      <c r="E47" s="286"/>
      <c r="F47" s="286"/>
      <c r="G47" s="2504"/>
      <c r="H47" s="2136" t="s">
        <v>153</v>
      </c>
      <c r="I47" s="2157"/>
      <c r="J47" s="295"/>
      <c r="K47" s="2509"/>
      <c r="L47" s="295"/>
      <c r="M47" s="326"/>
    </row>
    <row r="48" spans="1:13" ht="30" customHeight="1" x14ac:dyDescent="0.3">
      <c r="A48" s="2139"/>
      <c r="B48" s="1465"/>
      <c r="C48" s="1432" t="s">
        <v>68</v>
      </c>
      <c r="D48" s="276">
        <v>800000</v>
      </c>
      <c r="E48" s="276">
        <v>1336560</v>
      </c>
      <c r="F48" s="275">
        <v>1336560</v>
      </c>
      <c r="G48" s="2505">
        <f>+F48/E48*100</f>
        <v>100</v>
      </c>
      <c r="H48" s="2121" t="s">
        <v>41</v>
      </c>
      <c r="I48" s="2158"/>
      <c r="J48" s="276"/>
      <c r="K48" s="1377">
        <v>95909</v>
      </c>
      <c r="L48" s="276">
        <v>95909</v>
      </c>
      <c r="M48" s="2507">
        <f>+L48/K48*100</f>
        <v>100</v>
      </c>
    </row>
    <row r="49" spans="1:17" ht="30" customHeight="1" x14ac:dyDescent="0.3">
      <c r="A49" s="2139"/>
      <c r="B49" s="1465"/>
      <c r="C49" s="2140" t="s">
        <v>638</v>
      </c>
      <c r="D49" s="276"/>
      <c r="E49" s="276">
        <v>96015</v>
      </c>
      <c r="F49" s="276">
        <v>96015</v>
      </c>
      <c r="G49" s="2505">
        <f>+F49/E49*100</f>
        <v>100</v>
      </c>
      <c r="H49" s="2121" t="s">
        <v>637</v>
      </c>
      <c r="I49" s="2158"/>
      <c r="J49" s="276"/>
      <c r="K49" s="1377">
        <v>96015</v>
      </c>
      <c r="L49" s="276">
        <v>0</v>
      </c>
      <c r="M49" s="2507">
        <f>+L49/K49*100</f>
        <v>0</v>
      </c>
    </row>
    <row r="50" spans="1:17" ht="36" customHeight="1" x14ac:dyDescent="0.3">
      <c r="A50" s="2139"/>
      <c r="B50" s="1465"/>
      <c r="C50" s="1432" t="s">
        <v>252</v>
      </c>
      <c r="D50" s="276"/>
      <c r="E50" s="276">
        <v>863903</v>
      </c>
      <c r="F50" s="276">
        <f>863903-1</f>
        <v>863902</v>
      </c>
      <c r="G50" s="2502">
        <f t="shared" ref="G50:G54" si="3">+F50/E50*100</f>
        <v>99.999884246263761</v>
      </c>
      <c r="H50" s="2506" t="s">
        <v>359</v>
      </c>
      <c r="I50" s="2158"/>
      <c r="J50" s="276"/>
      <c r="K50" s="1377">
        <v>63584</v>
      </c>
      <c r="L50" s="276"/>
      <c r="M50" s="2507">
        <f>+L50/K50*100</f>
        <v>0</v>
      </c>
    </row>
    <row r="51" spans="1:17" ht="39.75" customHeight="1" x14ac:dyDescent="0.3">
      <c r="A51" s="2139"/>
      <c r="B51" s="1465"/>
      <c r="C51" s="1432" t="s">
        <v>526</v>
      </c>
      <c r="D51" s="276"/>
      <c r="E51" s="276">
        <v>80875</v>
      </c>
      <c r="F51" s="276">
        <v>80875</v>
      </c>
      <c r="G51" s="2502">
        <f t="shared" si="3"/>
        <v>100</v>
      </c>
      <c r="H51" s="1425"/>
      <c r="I51" s="2503"/>
      <c r="J51" s="453"/>
      <c r="K51" s="1395"/>
      <c r="L51" s="453"/>
      <c r="M51" s="2508"/>
    </row>
    <row r="52" spans="1:17" ht="48" customHeight="1" x14ac:dyDescent="0.3">
      <c r="A52" s="2139"/>
      <c r="B52" s="1465"/>
      <c r="C52" s="1432" t="s">
        <v>527</v>
      </c>
      <c r="D52" s="276"/>
      <c r="E52" s="276">
        <v>127885</v>
      </c>
      <c r="F52" s="276">
        <f>208760-80875</f>
        <v>127885</v>
      </c>
      <c r="G52" s="2502">
        <f t="shared" si="3"/>
        <v>100</v>
      </c>
      <c r="H52" s="1425"/>
      <c r="I52" s="2116"/>
      <c r="J52" s="275"/>
      <c r="K52" s="2111"/>
      <c r="L52" s="275"/>
      <c r="M52" s="454"/>
    </row>
    <row r="53" spans="1:17" ht="30" customHeight="1" thickBot="1" x14ac:dyDescent="0.35">
      <c r="A53" s="2139"/>
      <c r="B53" s="1465"/>
      <c r="C53" s="2141" t="s">
        <v>359</v>
      </c>
      <c r="D53" s="275"/>
      <c r="E53" s="275">
        <v>63584</v>
      </c>
      <c r="F53" s="275"/>
      <c r="G53" s="2505">
        <f t="shared" si="3"/>
        <v>0</v>
      </c>
      <c r="H53" s="1332"/>
      <c r="I53" s="2107"/>
      <c r="J53" s="288"/>
      <c r="K53" s="2143"/>
      <c r="L53" s="288"/>
      <c r="M53" s="306"/>
    </row>
    <row r="54" spans="1:17" ht="30" customHeight="1" thickBot="1" x14ac:dyDescent="0.35">
      <c r="A54" s="2511" t="s">
        <v>1435</v>
      </c>
      <c r="B54" s="2510"/>
      <c r="C54" s="2133"/>
      <c r="D54" s="285">
        <f>SUM(D47:D53)</f>
        <v>800000</v>
      </c>
      <c r="E54" s="285">
        <f>SUM(E47:E53)</f>
        <v>2568822</v>
      </c>
      <c r="F54" s="285">
        <f>SUM(F47:F53)</f>
        <v>2505237</v>
      </c>
      <c r="G54" s="298">
        <f t="shared" si="3"/>
        <v>97.524740912371513</v>
      </c>
      <c r="H54" s="2513" t="s">
        <v>1430</v>
      </c>
      <c r="I54" s="2159"/>
      <c r="J54" s="285">
        <f>SUM(J47:J48)</f>
        <v>0</v>
      </c>
      <c r="K54" s="285">
        <f>SUM(K47:K53)</f>
        <v>255508</v>
      </c>
      <c r="L54" s="285">
        <f>SUM(L47:L53)</f>
        <v>95909</v>
      </c>
      <c r="M54" s="298">
        <f>+L54/K54*100</f>
        <v>37.536593766144307</v>
      </c>
    </row>
    <row r="55" spans="1:17" ht="30" customHeight="1" x14ac:dyDescent="0.3">
      <c r="A55" s="2139"/>
      <c r="B55" s="2134"/>
      <c r="C55" s="2134"/>
      <c r="D55" s="287"/>
      <c r="E55" s="287"/>
      <c r="F55" s="287"/>
      <c r="G55" s="280"/>
      <c r="H55" s="2147"/>
      <c r="I55" s="2105"/>
      <c r="J55" s="295"/>
      <c r="K55" s="295"/>
      <c r="L55" s="295"/>
      <c r="M55" s="326"/>
    </row>
    <row r="56" spans="1:17" ht="30" customHeight="1" thickBot="1" x14ac:dyDescent="0.35">
      <c r="A56" s="2142"/>
      <c r="B56" s="2143"/>
      <c r="C56" s="2143"/>
      <c r="D56" s="288"/>
      <c r="E56" s="288"/>
      <c r="F56" s="288"/>
      <c r="G56" s="281"/>
      <c r="H56" s="2160"/>
      <c r="I56" s="2143"/>
      <c r="J56" s="288"/>
      <c r="K56" s="288"/>
      <c r="L56" s="288"/>
      <c r="M56" s="306"/>
    </row>
    <row r="57" spans="1:17" ht="32.25" customHeight="1" thickBot="1" x14ac:dyDescent="0.35">
      <c r="A57" s="2512" t="s">
        <v>371</v>
      </c>
      <c r="B57" s="2133"/>
      <c r="C57" s="2133"/>
      <c r="D57" s="285">
        <f>+D54+D45+D24</f>
        <v>16427203</v>
      </c>
      <c r="E57" s="285">
        <f>+E54+E45+E24</f>
        <v>33933776</v>
      </c>
      <c r="F57" s="285">
        <f>+F54+F45+F24</f>
        <v>29050027</v>
      </c>
      <c r="G57" s="298">
        <f>+F57/E57*100</f>
        <v>85.608000123534737</v>
      </c>
      <c r="H57" s="2514" t="s">
        <v>1431</v>
      </c>
      <c r="I57" s="2159"/>
      <c r="J57" s="285">
        <f>+J54+J45+J24</f>
        <v>16427203</v>
      </c>
      <c r="K57" s="285">
        <f>+K54+K45+K24</f>
        <v>33933776</v>
      </c>
      <c r="L57" s="285">
        <f>+L54+L45+L24</f>
        <v>17545816</v>
      </c>
      <c r="M57" s="298">
        <f>+L57/K57*100</f>
        <v>51.706052400416624</v>
      </c>
    </row>
    <row r="58" spans="1:17" ht="20.25" x14ac:dyDescent="0.3">
      <c r="A58" s="2144"/>
      <c r="B58" s="2134"/>
      <c r="C58" s="2134"/>
      <c r="D58" s="273"/>
      <c r="E58" s="273"/>
      <c r="F58" s="273">
        <f>+'1 kiemelt előirányzatok telj. '!E20</f>
        <v>29050027</v>
      </c>
      <c r="G58" s="273"/>
      <c r="H58" s="307"/>
      <c r="I58" s="269"/>
      <c r="J58" s="212"/>
      <c r="K58" s="117"/>
      <c r="L58" s="117">
        <f>+'1 kiemelt előirányzatok telj. '!J20</f>
        <v>17545816</v>
      </c>
      <c r="M58" s="308"/>
      <c r="N58" s="266"/>
      <c r="O58" s="266"/>
    </row>
    <row r="59" spans="1:17" ht="30" customHeight="1" x14ac:dyDescent="0.3">
      <c r="A59" s="2144"/>
      <c r="B59" s="2134"/>
      <c r="C59" s="2134"/>
      <c r="D59" s="273"/>
      <c r="E59" s="273"/>
      <c r="F59" s="273">
        <f>+F57-F58</f>
        <v>0</v>
      </c>
      <c r="G59" s="273"/>
      <c r="H59" s="307"/>
      <c r="I59" s="269"/>
      <c r="J59" s="117"/>
      <c r="K59" s="117"/>
      <c r="L59" s="117"/>
      <c r="M59" s="308"/>
      <c r="N59" s="266"/>
      <c r="O59" s="266"/>
    </row>
    <row r="60" spans="1:17" ht="20.25" x14ac:dyDescent="0.3">
      <c r="A60" s="2144"/>
      <c r="B60" s="2134"/>
      <c r="C60" s="2134"/>
      <c r="D60" s="273"/>
      <c r="E60" s="273" t="s">
        <v>1381</v>
      </c>
      <c r="F60" s="212">
        <v>29050027302</v>
      </c>
      <c r="G60" s="273"/>
      <c r="H60" s="307"/>
      <c r="I60" s="269"/>
      <c r="J60" s="7"/>
      <c r="K60" s="273" t="s">
        <v>1381</v>
      </c>
      <c r="L60" s="212">
        <v>17545816363</v>
      </c>
      <c r="M60" s="322"/>
      <c r="N60" s="266"/>
      <c r="O60" s="266"/>
    </row>
    <row r="61" spans="1:17" ht="20.25" x14ac:dyDescent="0.3">
      <c r="A61" s="2144"/>
      <c r="B61" s="2134"/>
      <c r="C61" s="2134"/>
      <c r="D61" s="273"/>
      <c r="E61" s="273"/>
      <c r="F61" s="273">
        <v>29050027</v>
      </c>
      <c r="G61" s="273"/>
      <c r="H61" s="307"/>
      <c r="I61" s="269"/>
      <c r="J61" s="48"/>
      <c r="K61" s="117"/>
      <c r="L61" s="273">
        <v>17545816</v>
      </c>
      <c r="M61" s="322"/>
      <c r="N61" s="266"/>
      <c r="O61" s="266"/>
    </row>
    <row r="62" spans="1:17" ht="20.25" x14ac:dyDescent="0.3">
      <c r="A62" s="273"/>
      <c r="B62" s="2111"/>
      <c r="C62" s="2111"/>
      <c r="D62" s="266"/>
      <c r="E62" s="2499"/>
      <c r="F62" s="2499"/>
      <c r="G62" s="266"/>
      <c r="J62" s="4"/>
      <c r="K62" s="2499"/>
      <c r="L62" s="2500"/>
      <c r="M62" s="263"/>
    </row>
    <row r="63" spans="1:17" ht="20.25" x14ac:dyDescent="0.3">
      <c r="A63" s="2111"/>
      <c r="B63" s="2111"/>
      <c r="C63" s="2111"/>
      <c r="D63" s="266"/>
      <c r="E63" s="266"/>
      <c r="F63" s="266"/>
      <c r="G63" s="266"/>
      <c r="J63" s="4"/>
      <c r="K63" s="117"/>
      <c r="L63" s="117"/>
    </row>
    <row r="64" spans="1:17" ht="20.25" x14ac:dyDescent="0.3">
      <c r="A64" s="2145"/>
      <c r="B64" s="2127"/>
      <c r="C64" s="2111"/>
      <c r="D64" s="266"/>
      <c r="E64" s="266"/>
      <c r="F64" s="266"/>
      <c r="G64" s="266"/>
      <c r="J64" s="266"/>
      <c r="K64" s="266"/>
      <c r="L64" s="266"/>
      <c r="M64" s="266"/>
      <c r="N64" s="266"/>
      <c r="O64" s="266"/>
      <c r="P64" s="266"/>
      <c r="Q64" s="266"/>
    </row>
    <row r="65" spans="1:17" ht="20.25" x14ac:dyDescent="0.3">
      <c r="A65" s="2146"/>
      <c r="B65" s="2111"/>
      <c r="C65" s="2111"/>
      <c r="D65" s="266"/>
      <c r="E65" s="266"/>
      <c r="F65" s="266"/>
      <c r="G65" s="266"/>
      <c r="J65" s="266"/>
      <c r="K65" s="266"/>
      <c r="L65" s="266"/>
      <c r="M65" s="266"/>
      <c r="N65" s="266"/>
      <c r="O65" s="266"/>
      <c r="P65" s="266"/>
      <c r="Q65" s="266"/>
    </row>
    <row r="66" spans="1:17" ht="20.25" x14ac:dyDescent="0.3">
      <c r="A66" s="2111"/>
      <c r="B66" s="2111"/>
      <c r="C66" s="2111"/>
      <c r="D66" s="510"/>
      <c r="E66" s="266"/>
      <c r="F66" s="266"/>
      <c r="G66" s="266"/>
      <c r="J66" s="117"/>
      <c r="K66" s="2064"/>
      <c r="L66" s="2065"/>
      <c r="M66" s="117"/>
      <c r="N66" s="266"/>
      <c r="O66" s="266"/>
      <c r="P66" s="266"/>
      <c r="Q66" s="266"/>
    </row>
    <row r="67" spans="1:17" ht="15" customHeight="1" x14ac:dyDescent="0.3">
      <c r="A67" s="2111"/>
      <c r="B67" s="2111"/>
      <c r="C67" s="2111"/>
      <c r="D67" s="1938"/>
      <c r="E67" s="1938"/>
      <c r="F67" s="266"/>
      <c r="G67" s="266"/>
      <c r="J67" s="117"/>
      <c r="K67" s="395"/>
      <c r="L67" s="117"/>
      <c r="M67" s="117"/>
      <c r="N67" s="266"/>
      <c r="O67" s="266"/>
      <c r="P67" s="266"/>
      <c r="Q67" s="266"/>
    </row>
    <row r="68" spans="1:17" ht="15" customHeight="1" x14ac:dyDescent="0.3">
      <c r="A68" s="2111"/>
      <c r="B68" s="2111"/>
      <c r="C68" s="2111"/>
      <c r="D68" s="266"/>
      <c r="E68" s="266"/>
      <c r="F68" s="266"/>
      <c r="G68" s="266"/>
      <c r="J68" s="117"/>
      <c r="K68" s="395"/>
      <c r="L68" s="117"/>
      <c r="M68" s="117"/>
      <c r="N68" s="266"/>
      <c r="O68" s="266"/>
      <c r="P68" s="266"/>
      <c r="Q68" s="266"/>
    </row>
    <row r="69" spans="1:17" ht="15" customHeight="1" x14ac:dyDescent="0.3">
      <c r="A69" s="489"/>
      <c r="B69" s="489"/>
      <c r="C69" s="489"/>
      <c r="D69" s="266"/>
      <c r="E69" s="266"/>
      <c r="F69" s="266"/>
      <c r="G69" s="266"/>
      <c r="J69" s="117"/>
      <c r="K69" s="395"/>
      <c r="L69" s="117"/>
      <c r="M69" s="117"/>
      <c r="N69" s="266"/>
      <c r="O69" s="266"/>
      <c r="P69" s="266"/>
      <c r="Q69" s="266"/>
    </row>
    <row r="70" spans="1:17" ht="46.5" customHeight="1" x14ac:dyDescent="0.3">
      <c r="A70" s="489"/>
      <c r="B70" s="489"/>
      <c r="C70" s="489"/>
      <c r="D70" s="510"/>
      <c r="E70" s="266"/>
      <c r="F70" s="266"/>
      <c r="G70" s="266"/>
      <c r="J70" s="117"/>
      <c r="K70" s="2064"/>
      <c r="L70" s="117"/>
      <c r="M70" s="117"/>
      <c r="N70" s="266"/>
      <c r="O70" s="266"/>
      <c r="P70" s="266"/>
      <c r="Q70" s="266"/>
    </row>
    <row r="71" spans="1:17" ht="15.75" customHeight="1" x14ac:dyDescent="0.3">
      <c r="A71" s="489"/>
      <c r="B71" s="489"/>
      <c r="C71" s="489"/>
      <c r="D71" s="266"/>
      <c r="E71" s="266"/>
      <c r="F71" s="266"/>
      <c r="G71" s="266"/>
      <c r="J71" s="117"/>
      <c r="K71" s="117"/>
      <c r="L71" s="117"/>
      <c r="M71" s="117"/>
      <c r="N71" s="266"/>
      <c r="O71" s="266"/>
      <c r="P71" s="266"/>
      <c r="Q71" s="266"/>
    </row>
    <row r="72" spans="1:17" ht="15" customHeight="1" x14ac:dyDescent="0.3">
      <c r="A72" s="489"/>
      <c r="B72" s="489"/>
      <c r="C72" s="489"/>
      <c r="D72" s="266"/>
      <c r="E72" s="266"/>
      <c r="F72" s="266"/>
      <c r="G72" s="266"/>
      <c r="J72" s="117"/>
      <c r="K72" s="117"/>
      <c r="L72" s="117"/>
      <c r="M72" s="117"/>
      <c r="N72" s="117"/>
      <c r="O72" s="266"/>
      <c r="P72" s="266"/>
      <c r="Q72" s="266"/>
    </row>
    <row r="73" spans="1:17" ht="15" customHeight="1" x14ac:dyDescent="0.3">
      <c r="A73" s="489"/>
      <c r="B73" s="489"/>
      <c r="C73" s="489"/>
      <c r="D73" s="266"/>
      <c r="E73" s="266"/>
      <c r="F73" s="266"/>
      <c r="G73" s="266"/>
      <c r="J73" s="117"/>
      <c r="K73" s="117"/>
      <c r="L73" s="117"/>
      <c r="M73" s="117"/>
      <c r="N73" s="117"/>
      <c r="O73" s="266"/>
      <c r="P73" s="266"/>
      <c r="Q73" s="266"/>
    </row>
    <row r="74" spans="1:17" ht="15" customHeight="1" x14ac:dyDescent="0.3">
      <c r="A74" s="489"/>
      <c r="B74" s="489"/>
      <c r="C74" s="489"/>
      <c r="D74" s="266"/>
      <c r="E74" s="266"/>
      <c r="F74" s="266"/>
      <c r="G74" s="266"/>
      <c r="J74" s="117"/>
      <c r="K74" s="117"/>
      <c r="L74" s="117"/>
      <c r="M74" s="117"/>
      <c r="N74" s="117"/>
      <c r="O74" s="266"/>
      <c r="P74" s="266"/>
      <c r="Q74" s="266"/>
    </row>
    <row r="75" spans="1:17" ht="15" customHeight="1" x14ac:dyDescent="0.3">
      <c r="A75" s="489"/>
      <c r="B75" s="489"/>
      <c r="C75" s="489"/>
      <c r="J75" s="117"/>
      <c r="K75" s="117"/>
      <c r="L75" s="117"/>
      <c r="M75" s="117"/>
      <c r="N75" s="117"/>
      <c r="O75" s="266"/>
      <c r="P75" s="266"/>
      <c r="Q75" s="1938"/>
    </row>
    <row r="76" spans="1:17" ht="15" customHeight="1" x14ac:dyDescent="0.3">
      <c r="A76" s="489"/>
      <c r="B76" s="489"/>
      <c r="C76" s="489"/>
      <c r="J76" s="117"/>
      <c r="K76" s="117"/>
      <c r="L76" s="117"/>
      <c r="M76" s="117"/>
      <c r="N76" s="117"/>
      <c r="O76" s="266"/>
      <c r="P76" s="266"/>
      <c r="Q76" s="266"/>
    </row>
    <row r="77" spans="1:17" ht="15" customHeight="1" x14ac:dyDescent="0.3">
      <c r="A77" s="489"/>
      <c r="B77" s="489"/>
      <c r="C77" s="489"/>
      <c r="J77" s="266"/>
      <c r="K77" s="396"/>
      <c r="L77" s="117"/>
      <c r="M77" s="117"/>
      <c r="N77" s="117"/>
      <c r="O77" s="117"/>
      <c r="P77" s="266"/>
      <c r="Q77" s="266"/>
    </row>
    <row r="78" spans="1:17" ht="15" customHeight="1" x14ac:dyDescent="0.3">
      <c r="A78" s="489"/>
      <c r="B78" s="489"/>
      <c r="C78" s="489"/>
      <c r="J78" s="146"/>
      <c r="K78" s="266"/>
      <c r="L78" s="5"/>
      <c r="M78" s="6"/>
      <c r="N78" s="6"/>
    </row>
    <row r="79" spans="1:17" ht="15" customHeight="1" x14ac:dyDescent="0.3">
      <c r="A79" s="489"/>
      <c r="B79" s="489"/>
      <c r="C79" s="489"/>
      <c r="J79" s="146"/>
      <c r="K79" s="266"/>
      <c r="L79" s="5"/>
      <c r="M79" s="6"/>
      <c r="N79" s="6"/>
    </row>
    <row r="80" spans="1:17" ht="15" customHeight="1" x14ac:dyDescent="0.3">
      <c r="A80" s="489"/>
      <c r="B80" s="489"/>
      <c r="C80" s="489"/>
      <c r="J80" s="146"/>
      <c r="K80" s="266"/>
      <c r="L80" s="6"/>
      <c r="M80" s="18"/>
      <c r="N80" s="18"/>
    </row>
    <row r="81" spans="1:14" ht="15" customHeight="1" x14ac:dyDescent="0.3">
      <c r="A81" s="489"/>
      <c r="B81" s="489"/>
      <c r="C81" s="489"/>
      <c r="J81" s="146"/>
      <c r="K81" s="266"/>
      <c r="L81" s="266"/>
      <c r="N81" s="6"/>
    </row>
    <row r="82" spans="1:14" ht="15" customHeight="1" x14ac:dyDescent="0.3">
      <c r="A82" s="489"/>
      <c r="B82" s="489"/>
      <c r="C82" s="489"/>
      <c r="J82" s="266"/>
      <c r="K82" s="266"/>
      <c r="L82" s="266"/>
      <c r="N82" s="6"/>
    </row>
    <row r="83" spans="1:14" ht="15" customHeight="1" x14ac:dyDescent="0.3">
      <c r="A83" s="489"/>
      <c r="B83" s="489"/>
      <c r="C83" s="489"/>
      <c r="J83" s="266"/>
      <c r="K83" s="266"/>
      <c r="L83" s="266"/>
      <c r="N83" s="106"/>
    </row>
    <row r="84" spans="1:14" ht="15" customHeight="1" x14ac:dyDescent="0.3">
      <c r="A84" s="489"/>
      <c r="B84" s="489"/>
      <c r="C84" s="489"/>
      <c r="L84" s="266"/>
    </row>
    <row r="85" spans="1:14" ht="15" customHeight="1" x14ac:dyDescent="0.3">
      <c r="A85" s="489"/>
      <c r="B85" s="489"/>
      <c r="C85" s="489"/>
      <c r="L85" s="266"/>
    </row>
    <row r="86" spans="1:14" ht="15" customHeight="1" x14ac:dyDescent="0.3">
      <c r="A86" s="489"/>
      <c r="B86" s="489"/>
      <c r="C86" s="489"/>
      <c r="L86" s="266"/>
    </row>
    <row r="87" spans="1:14" ht="15" customHeight="1" x14ac:dyDescent="0.3">
      <c r="A87" s="489"/>
      <c r="B87" s="489"/>
      <c r="C87" s="489"/>
      <c r="L87" s="266"/>
    </row>
    <row r="88" spans="1:14" ht="15" customHeight="1" x14ac:dyDescent="0.3">
      <c r="A88" s="489"/>
      <c r="B88" s="489"/>
      <c r="C88" s="489"/>
    </row>
    <row r="89" spans="1:14" ht="15" customHeight="1" x14ac:dyDescent="0.3">
      <c r="A89" s="489"/>
      <c r="B89" s="489"/>
      <c r="C89" s="489"/>
    </row>
    <row r="90" spans="1:14" ht="15" customHeight="1" x14ac:dyDescent="0.3">
      <c r="A90" s="489"/>
      <c r="B90" s="489"/>
      <c r="C90" s="489"/>
    </row>
    <row r="91" spans="1:14" ht="15" customHeight="1" x14ac:dyDescent="0.3">
      <c r="A91" s="489"/>
      <c r="B91" s="489"/>
      <c r="C91" s="489"/>
    </row>
    <row r="92" spans="1:14" ht="15" customHeight="1" x14ac:dyDescent="0.3">
      <c r="A92" s="489"/>
      <c r="B92" s="489"/>
      <c r="C92" s="489"/>
    </row>
    <row r="93" spans="1:14" ht="15" customHeight="1" x14ac:dyDescent="0.3">
      <c r="A93" s="489"/>
      <c r="B93" s="489"/>
      <c r="C93" s="489"/>
    </row>
    <row r="94" spans="1:14" ht="15" customHeight="1" x14ac:dyDescent="0.3">
      <c r="A94" s="489"/>
      <c r="B94" s="489"/>
      <c r="C94" s="489"/>
    </row>
    <row r="95" spans="1:14" ht="15" customHeight="1" x14ac:dyDescent="0.3">
      <c r="A95" s="489"/>
      <c r="B95" s="489"/>
      <c r="C95" s="489"/>
    </row>
    <row r="96" spans="1:14" ht="15" customHeight="1" x14ac:dyDescent="0.3">
      <c r="A96" s="489"/>
      <c r="B96" s="489"/>
      <c r="C96" s="489"/>
    </row>
    <row r="97" spans="1:3" ht="15" customHeight="1" x14ac:dyDescent="0.3">
      <c r="A97" s="489"/>
      <c r="B97" s="489"/>
      <c r="C97" s="489"/>
    </row>
    <row r="98" spans="1:3" ht="15" customHeight="1" x14ac:dyDescent="0.3">
      <c r="A98" s="489"/>
      <c r="B98" s="489"/>
      <c r="C98" s="489"/>
    </row>
    <row r="99" spans="1:3" ht="15" customHeight="1" x14ac:dyDescent="0.3">
      <c r="A99" s="489"/>
      <c r="B99" s="489"/>
      <c r="C99" s="489"/>
    </row>
    <row r="100" spans="1:3" ht="15" customHeight="1" x14ac:dyDescent="0.3">
      <c r="A100" s="489"/>
      <c r="B100" s="489"/>
      <c r="C100" s="489"/>
    </row>
    <row r="216" spans="7:7" ht="15" customHeight="1" x14ac:dyDescent="0.25">
      <c r="G216" s="262">
        <f>+E216-F216-H216-H217-H218-H219-H220-H221-H222</f>
        <v>0</v>
      </c>
    </row>
  </sheetData>
  <mergeCells count="6">
    <mergeCell ref="A30:C30"/>
    <mergeCell ref="A2:L2"/>
    <mergeCell ref="D4:E4"/>
    <mergeCell ref="J4:K4"/>
    <mergeCell ref="D26:E26"/>
    <mergeCell ref="J26:K26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</oddHeader>
  </headerFooter>
  <rowBreaks count="1" manualBreakCount="1">
    <brk id="24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sqref="A1:E1"/>
    </sheetView>
  </sheetViews>
  <sheetFormatPr defaultColWidth="10.6640625" defaultRowHeight="12.75" x14ac:dyDescent="0.2"/>
  <cols>
    <col min="1" max="1" width="11" style="565" customWidth="1"/>
    <col min="2" max="2" width="108.1640625" style="565" customWidth="1"/>
    <col min="3" max="3" width="31.83203125" style="588" customWidth="1"/>
    <col min="4" max="4" width="15.33203125" style="565" customWidth="1"/>
    <col min="5" max="16384" width="10.6640625" style="565"/>
  </cols>
  <sheetData>
    <row r="1" spans="1:3" x14ac:dyDescent="0.2">
      <c r="A1" s="2712" t="s">
        <v>663</v>
      </c>
      <c r="B1" s="2712"/>
      <c r="C1" s="2712"/>
    </row>
    <row r="2" spans="1:3" x14ac:dyDescent="0.2">
      <c r="A2" s="2712" t="s">
        <v>664</v>
      </c>
      <c r="B2" s="2712"/>
      <c r="C2" s="2712"/>
    </row>
    <row r="3" spans="1:3" x14ac:dyDescent="0.2">
      <c r="A3" s="2712" t="s">
        <v>1274</v>
      </c>
      <c r="B3" s="2712"/>
      <c r="C3" s="2712"/>
    </row>
    <row r="4" spans="1:3" ht="13.5" thickBot="1" x14ac:dyDescent="0.25">
      <c r="C4" s="566" t="s">
        <v>38</v>
      </c>
    </row>
    <row r="5" spans="1:3" ht="15.75" thickBot="1" x14ac:dyDescent="0.3">
      <c r="A5" s="567" t="s">
        <v>665</v>
      </c>
      <c r="B5" s="567" t="s">
        <v>59</v>
      </c>
      <c r="C5" s="567" t="s">
        <v>666</v>
      </c>
    </row>
    <row r="6" spans="1:3" ht="40.5" customHeight="1" x14ac:dyDescent="0.2">
      <c r="A6" s="568" t="s">
        <v>382</v>
      </c>
      <c r="B6" s="1816" t="s">
        <v>1306</v>
      </c>
      <c r="C6" s="569">
        <v>20511</v>
      </c>
    </row>
    <row r="7" spans="1:3" ht="27" customHeight="1" x14ac:dyDescent="0.2">
      <c r="A7" s="570" t="s">
        <v>71</v>
      </c>
      <c r="B7" s="571" t="s">
        <v>667</v>
      </c>
      <c r="C7" s="572">
        <v>0</v>
      </c>
    </row>
    <row r="8" spans="1:3" ht="33.75" customHeight="1" x14ac:dyDescent="0.2">
      <c r="A8" s="573" t="s">
        <v>383</v>
      </c>
      <c r="B8" s="574" t="s">
        <v>668</v>
      </c>
      <c r="C8" s="575"/>
    </row>
    <row r="9" spans="1:3" ht="15.95" customHeight="1" x14ac:dyDescent="0.2">
      <c r="A9" s="570"/>
      <c r="B9" s="576" t="s">
        <v>669</v>
      </c>
      <c r="C9" s="577">
        <v>670</v>
      </c>
    </row>
    <row r="10" spans="1:3" ht="15.95" customHeight="1" x14ac:dyDescent="0.2">
      <c r="A10" s="570"/>
      <c r="B10" s="576" t="s">
        <v>670</v>
      </c>
      <c r="C10" s="577">
        <v>1083</v>
      </c>
    </row>
    <row r="11" spans="1:3" ht="15.95" customHeight="1" x14ac:dyDescent="0.2">
      <c r="A11" s="570"/>
      <c r="B11" s="576" t="s">
        <v>671</v>
      </c>
      <c r="C11" s="577">
        <v>0</v>
      </c>
    </row>
    <row r="12" spans="1:3" ht="15.95" customHeight="1" x14ac:dyDescent="0.2">
      <c r="A12" s="570"/>
      <c r="B12" s="578" t="s">
        <v>672</v>
      </c>
      <c r="C12" s="577">
        <v>84954</v>
      </c>
    </row>
    <row r="13" spans="1:3" ht="15.95" customHeight="1" x14ac:dyDescent="0.2">
      <c r="A13" s="570"/>
      <c r="B13" s="576" t="s">
        <v>673</v>
      </c>
      <c r="C13" s="577">
        <v>230</v>
      </c>
    </row>
    <row r="14" spans="1:3" ht="30.75" customHeight="1" x14ac:dyDescent="0.2">
      <c r="A14" s="579" t="s">
        <v>384</v>
      </c>
      <c r="B14" s="580" t="s">
        <v>674</v>
      </c>
      <c r="C14" s="581">
        <v>45238</v>
      </c>
    </row>
    <row r="15" spans="1:3" ht="30.75" customHeight="1" x14ac:dyDescent="0.2">
      <c r="A15" s="579" t="s">
        <v>386</v>
      </c>
      <c r="B15" s="580" t="s">
        <v>675</v>
      </c>
      <c r="C15" s="582">
        <v>2132</v>
      </c>
    </row>
    <row r="16" spans="1:3" ht="23.25" customHeight="1" thickBot="1" x14ac:dyDescent="0.3">
      <c r="A16" s="583"/>
      <c r="B16" s="584" t="s">
        <v>676</v>
      </c>
      <c r="C16" s="585">
        <f>SUM(C6:C15)</f>
        <v>154818</v>
      </c>
    </row>
    <row r="18" spans="1:3" ht="14.25" x14ac:dyDescent="0.2">
      <c r="A18" s="586"/>
      <c r="B18" s="587" t="s">
        <v>677</v>
      </c>
    </row>
    <row r="19" spans="1:3" s="589" customFormat="1" ht="46.5" customHeight="1" x14ac:dyDescent="0.2">
      <c r="B19" s="590" t="s">
        <v>1309</v>
      </c>
      <c r="C19" s="591"/>
    </row>
    <row r="20" spans="1:3" ht="15" x14ac:dyDescent="0.2">
      <c r="B20" s="592" t="s">
        <v>678</v>
      </c>
      <c r="C20" s="591"/>
    </row>
    <row r="21" spans="1:3" ht="15" x14ac:dyDescent="0.2">
      <c r="B21" s="592" t="s">
        <v>1307</v>
      </c>
      <c r="C21" s="591"/>
    </row>
    <row r="22" spans="1:3" ht="15" x14ac:dyDescent="0.2">
      <c r="B22" s="592" t="s">
        <v>1308</v>
      </c>
      <c r="C22" s="591"/>
    </row>
    <row r="23" spans="1:3" ht="15" x14ac:dyDescent="0.2">
      <c r="C23" s="591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="75" zoomScaleNormal="75" workbookViewId="0">
      <selection activeCell="B1" sqref="B1:E1"/>
    </sheetView>
  </sheetViews>
  <sheetFormatPr defaultColWidth="10.6640625" defaultRowHeight="14.25" x14ac:dyDescent="0.2"/>
  <cols>
    <col min="1" max="1" width="6.5" style="593" customWidth="1"/>
    <col min="2" max="2" width="127.33203125" style="593" customWidth="1"/>
    <col min="3" max="3" width="27.1640625" style="593" customWidth="1"/>
    <col min="4" max="4" width="27.33203125" style="593" customWidth="1"/>
    <col min="5" max="5" width="16.83203125" style="593" customWidth="1"/>
    <col min="6" max="6" width="18.83203125" style="593" customWidth="1"/>
    <col min="7" max="12" width="10.6640625" style="593" customWidth="1"/>
    <col min="13" max="16384" width="10.6640625" style="593"/>
  </cols>
  <sheetData>
    <row r="1" spans="2:6" ht="18" x14ac:dyDescent="0.25">
      <c r="B1" s="2713" t="s">
        <v>679</v>
      </c>
      <c r="C1" s="2713"/>
      <c r="D1" s="2713"/>
    </row>
    <row r="2" spans="2:6" ht="18" x14ac:dyDescent="0.25">
      <c r="B2" s="2713" t="s">
        <v>1275</v>
      </c>
      <c r="C2" s="2713"/>
      <c r="D2" s="2713"/>
    </row>
    <row r="3" spans="2:6" ht="15" x14ac:dyDescent="0.25">
      <c r="B3" s="2714"/>
      <c r="C3" s="2714"/>
      <c r="D3" s="2714"/>
    </row>
    <row r="4" spans="2:6" ht="15.75" thickBot="1" x14ac:dyDescent="0.3">
      <c r="B4" s="594"/>
      <c r="C4" s="595"/>
      <c r="D4" s="596" t="s">
        <v>38</v>
      </c>
    </row>
    <row r="5" spans="2:6" s="43" customFormat="1" ht="25.5" customHeight="1" x14ac:dyDescent="0.25">
      <c r="B5" s="1264" t="s">
        <v>680</v>
      </c>
      <c r="C5" s="597" t="s">
        <v>173</v>
      </c>
      <c r="D5" s="598" t="s">
        <v>173</v>
      </c>
    </row>
    <row r="6" spans="2:6" s="43" customFormat="1" ht="26.25" customHeight="1" thickBot="1" x14ac:dyDescent="0.3">
      <c r="B6" s="599"/>
      <c r="C6" s="600" t="s">
        <v>204</v>
      </c>
      <c r="D6" s="601" t="s">
        <v>205</v>
      </c>
    </row>
    <row r="7" spans="2:6" s="43" customFormat="1" ht="18.95" customHeight="1" x14ac:dyDescent="0.25">
      <c r="B7" s="602" t="s">
        <v>681</v>
      </c>
      <c r="C7" s="603"/>
      <c r="D7" s="604"/>
    </row>
    <row r="8" spans="2:6" s="43" customFormat="1" ht="36.75" customHeight="1" x14ac:dyDescent="0.2">
      <c r="B8" s="1688" t="s">
        <v>1276</v>
      </c>
      <c r="C8" s="1685">
        <v>16028</v>
      </c>
      <c r="D8" s="1684">
        <v>16028</v>
      </c>
      <c r="F8" s="203"/>
    </row>
    <row r="9" spans="2:6" s="43" customFormat="1" ht="27" customHeight="1" x14ac:dyDescent="0.2">
      <c r="B9" s="1688" t="s">
        <v>1277</v>
      </c>
      <c r="C9" s="1685">
        <v>3420</v>
      </c>
      <c r="D9" s="139">
        <v>0</v>
      </c>
    </row>
    <row r="10" spans="2:6" s="43" customFormat="1" ht="27" customHeight="1" x14ac:dyDescent="0.2">
      <c r="B10" s="1688" t="s">
        <v>1278</v>
      </c>
      <c r="C10" s="1685">
        <v>15493</v>
      </c>
      <c r="D10" s="1684">
        <v>0</v>
      </c>
    </row>
    <row r="11" spans="2:6" s="43" customFormat="1" ht="27" customHeight="1" x14ac:dyDescent="0.2">
      <c r="B11" s="1688" t="s">
        <v>630</v>
      </c>
      <c r="C11" s="1685">
        <v>4400</v>
      </c>
      <c r="D11" s="1684">
        <v>4400</v>
      </c>
    </row>
    <row r="12" spans="2:6" s="43" customFormat="1" ht="27" customHeight="1" x14ac:dyDescent="0.2">
      <c r="B12" s="1688" t="s">
        <v>631</v>
      </c>
      <c r="C12" s="1685">
        <v>2720</v>
      </c>
      <c r="D12" s="1684">
        <v>2720</v>
      </c>
    </row>
    <row r="13" spans="2:6" s="43" customFormat="1" ht="24.75" customHeight="1" x14ac:dyDescent="0.2">
      <c r="B13" s="1688" t="s">
        <v>1279</v>
      </c>
      <c r="C13" s="1685">
        <v>5040</v>
      </c>
      <c r="D13" s="1684">
        <v>5040</v>
      </c>
    </row>
    <row r="14" spans="2:6" s="43" customFormat="1" ht="27" customHeight="1" x14ac:dyDescent="0.2">
      <c r="B14" s="1688" t="s">
        <v>594</v>
      </c>
      <c r="C14" s="1685">
        <v>93594</v>
      </c>
      <c r="D14" s="1684">
        <v>93594</v>
      </c>
    </row>
    <row r="15" spans="2:6" s="43" customFormat="1" ht="24" customHeight="1" x14ac:dyDescent="0.2">
      <c r="B15" s="605" t="s">
        <v>682</v>
      </c>
      <c r="C15" s="606"/>
      <c r="D15" s="607"/>
    </row>
    <row r="16" spans="2:6" s="43" customFormat="1" ht="26.25" customHeight="1" x14ac:dyDescent="0.2">
      <c r="B16" s="1689" t="s">
        <v>1280</v>
      </c>
      <c r="C16" s="1687">
        <v>163199</v>
      </c>
      <c r="D16" s="1684">
        <v>156328</v>
      </c>
    </row>
    <row r="17" spans="2:4" s="43" customFormat="1" ht="27" customHeight="1" x14ac:dyDescent="0.2">
      <c r="B17" s="1689" t="s">
        <v>1281</v>
      </c>
      <c r="C17" s="1687">
        <v>800000</v>
      </c>
      <c r="D17" s="139">
        <v>384500</v>
      </c>
    </row>
    <row r="18" spans="2:4" s="43" customFormat="1" ht="27" customHeight="1" x14ac:dyDescent="0.2">
      <c r="B18" s="1689" t="s">
        <v>1282</v>
      </c>
      <c r="C18" s="1687">
        <v>146054</v>
      </c>
      <c r="D18" s="139">
        <v>138812</v>
      </c>
    </row>
    <row r="19" spans="2:4" s="43" customFormat="1" ht="27" customHeight="1" x14ac:dyDescent="0.2">
      <c r="B19" s="1689" t="s">
        <v>1283</v>
      </c>
      <c r="C19" s="1687">
        <v>700000</v>
      </c>
      <c r="D19" s="1684">
        <v>335673</v>
      </c>
    </row>
    <row r="20" spans="2:4" s="43" customFormat="1" ht="27" customHeight="1" x14ac:dyDescent="0.2">
      <c r="B20" s="1689" t="s">
        <v>1284</v>
      </c>
      <c r="C20" s="1687">
        <v>1015000</v>
      </c>
      <c r="D20" s="139">
        <v>482125</v>
      </c>
    </row>
    <row r="21" spans="2:4" s="43" customFormat="1" ht="27" customHeight="1" x14ac:dyDescent="0.2">
      <c r="B21" s="1689" t="s">
        <v>1285</v>
      </c>
      <c r="C21" s="1687">
        <v>915000</v>
      </c>
      <c r="D21" s="1684">
        <v>434625</v>
      </c>
    </row>
    <row r="22" spans="2:4" s="43" customFormat="1" ht="27" customHeight="1" x14ac:dyDescent="0.2">
      <c r="B22" s="1689" t="s">
        <v>621</v>
      </c>
      <c r="C22" s="1687">
        <v>254747</v>
      </c>
      <c r="D22" s="1686">
        <v>242452</v>
      </c>
    </row>
    <row r="23" spans="2:4" s="43" customFormat="1" ht="27" customHeight="1" x14ac:dyDescent="0.2">
      <c r="B23" s="1689" t="s">
        <v>628</v>
      </c>
      <c r="C23" s="1687">
        <v>69819</v>
      </c>
      <c r="D23" s="1686">
        <v>69819</v>
      </c>
    </row>
    <row r="24" spans="2:4" s="43" customFormat="1" ht="27" customHeight="1" x14ac:dyDescent="0.2">
      <c r="B24" s="1689" t="s">
        <v>622</v>
      </c>
      <c r="C24" s="1687">
        <v>750000</v>
      </c>
      <c r="D24" s="1686">
        <v>375000</v>
      </c>
    </row>
    <row r="25" spans="2:4" s="43" customFormat="1" ht="27" customHeight="1" x14ac:dyDescent="0.2">
      <c r="B25" s="1689" t="s">
        <v>610</v>
      </c>
      <c r="C25" s="1687">
        <v>1155000</v>
      </c>
      <c r="D25" s="1686">
        <v>548625</v>
      </c>
    </row>
    <row r="26" spans="2:4" s="43" customFormat="1" ht="27" customHeight="1" x14ac:dyDescent="0.2">
      <c r="B26" s="1689" t="s">
        <v>627</v>
      </c>
      <c r="C26" s="1687">
        <v>630510</v>
      </c>
      <c r="D26" s="1686">
        <v>300600</v>
      </c>
    </row>
    <row r="27" spans="2:4" s="43" customFormat="1" ht="27" customHeight="1" x14ac:dyDescent="0.2">
      <c r="B27" s="1689" t="s">
        <v>612</v>
      </c>
      <c r="C27" s="1687">
        <v>296128</v>
      </c>
      <c r="D27" s="1686">
        <v>282475</v>
      </c>
    </row>
    <row r="28" spans="2:4" s="43" customFormat="1" ht="27" customHeight="1" x14ac:dyDescent="0.2">
      <c r="B28" s="1689" t="s">
        <v>624</v>
      </c>
      <c r="C28" s="1687">
        <v>182993</v>
      </c>
      <c r="D28" s="1686">
        <v>174674</v>
      </c>
    </row>
    <row r="29" spans="2:4" s="43" customFormat="1" ht="27" customHeight="1" x14ac:dyDescent="0.2">
      <c r="B29" s="1689" t="s">
        <v>625</v>
      </c>
      <c r="C29" s="1687">
        <v>294312</v>
      </c>
      <c r="D29" s="1686">
        <v>280850</v>
      </c>
    </row>
    <row r="30" spans="2:4" s="43" customFormat="1" ht="27" customHeight="1" x14ac:dyDescent="0.2">
      <c r="B30" s="1689" t="s">
        <v>615</v>
      </c>
      <c r="C30" s="1687">
        <v>456000</v>
      </c>
      <c r="D30" s="1684">
        <v>456000</v>
      </c>
    </row>
    <row r="31" spans="2:4" s="43" customFormat="1" ht="27" customHeight="1" x14ac:dyDescent="0.2">
      <c r="B31" s="1689" t="s">
        <v>629</v>
      </c>
      <c r="C31" s="1687">
        <v>376215</v>
      </c>
      <c r="D31" s="1686">
        <v>355946</v>
      </c>
    </row>
    <row r="32" spans="2:4" s="43" customFormat="1" ht="27" customHeight="1" x14ac:dyDescent="0.2">
      <c r="B32" s="1689" t="s">
        <v>626</v>
      </c>
      <c r="C32" s="1687">
        <v>294058</v>
      </c>
      <c r="D32" s="1686">
        <v>279580</v>
      </c>
    </row>
    <row r="33" spans="2:6" s="43" customFormat="1" ht="27" customHeight="1" x14ac:dyDescent="0.2">
      <c r="B33" s="1689" t="s">
        <v>639</v>
      </c>
      <c r="C33" s="1687">
        <v>564000</v>
      </c>
      <c r="D33" s="1686">
        <v>269304</v>
      </c>
    </row>
    <row r="34" spans="2:6" s="43" customFormat="1" ht="27" customHeight="1" x14ac:dyDescent="0.2">
      <c r="B34" s="1690" t="s">
        <v>640</v>
      </c>
      <c r="C34" s="1687">
        <v>1601000</v>
      </c>
      <c r="D34" s="1686">
        <v>760475</v>
      </c>
    </row>
    <row r="35" spans="2:6" s="43" customFormat="1" ht="24.75" customHeight="1" thickBot="1" x14ac:dyDescent="0.3">
      <c r="B35" s="608" t="s">
        <v>683</v>
      </c>
      <c r="C35" s="609">
        <f>SUM(C8:C34)</f>
        <v>10804730</v>
      </c>
      <c r="D35" s="609">
        <f>SUM(D8:D34)</f>
        <v>6449645</v>
      </c>
      <c r="F35" s="203"/>
    </row>
    <row r="36" spans="2:6" s="43" customFormat="1" ht="15.75" thickBot="1" x14ac:dyDescent="0.25">
      <c r="B36" s="143"/>
      <c r="C36" s="143"/>
      <c r="D36" s="30"/>
    </row>
    <row r="37" spans="2:6" s="43" customFormat="1" ht="26.25" customHeight="1" x14ac:dyDescent="0.25">
      <c r="B37" s="610" t="s">
        <v>684</v>
      </c>
      <c r="C37" s="611" t="s">
        <v>173</v>
      </c>
      <c r="D37" s="612" t="s">
        <v>173</v>
      </c>
    </row>
    <row r="38" spans="2:6" s="43" customFormat="1" ht="25.5" customHeight="1" thickBot="1" x14ac:dyDescent="0.3">
      <c r="B38" s="599"/>
      <c r="C38" s="613" t="s">
        <v>204</v>
      </c>
      <c r="D38" s="614" t="s">
        <v>205</v>
      </c>
    </row>
    <row r="39" spans="2:6" s="43" customFormat="1" ht="21" customHeight="1" x14ac:dyDescent="0.25">
      <c r="B39" s="602" t="s">
        <v>681</v>
      </c>
      <c r="C39" s="611"/>
      <c r="D39" s="612"/>
    </row>
    <row r="40" spans="2:6" s="43" customFormat="1" ht="21" customHeight="1" x14ac:dyDescent="0.25">
      <c r="B40" s="112" t="s">
        <v>685</v>
      </c>
      <c r="C40" s="615"/>
      <c r="D40" s="616"/>
    </row>
    <row r="41" spans="2:6" s="43" customFormat="1" ht="23.25" customHeight="1" x14ac:dyDescent="0.2">
      <c r="B41" s="1698" t="s">
        <v>346</v>
      </c>
      <c r="C41" s="1694">
        <f>3917-1173</f>
        <v>2744</v>
      </c>
      <c r="D41" s="1684">
        <v>2264</v>
      </c>
    </row>
    <row r="42" spans="2:6" s="43" customFormat="1" ht="23.25" customHeight="1" x14ac:dyDescent="0.2">
      <c r="B42" s="1698" t="s">
        <v>345</v>
      </c>
      <c r="C42" s="1694">
        <v>13769</v>
      </c>
      <c r="D42" s="1684">
        <v>2041</v>
      </c>
    </row>
    <row r="43" spans="2:6" s="43" customFormat="1" ht="23.25" customHeight="1" x14ac:dyDescent="0.2">
      <c r="B43" s="1698" t="s">
        <v>630</v>
      </c>
      <c r="C43" s="1694">
        <v>4400</v>
      </c>
      <c r="D43" s="1684"/>
    </row>
    <row r="44" spans="2:6" s="43" customFormat="1" ht="23.25" customHeight="1" x14ac:dyDescent="0.2">
      <c r="B44" s="1698" t="s">
        <v>631</v>
      </c>
      <c r="C44" s="1694">
        <v>2720</v>
      </c>
      <c r="D44" s="1684"/>
    </row>
    <row r="45" spans="2:6" s="43" customFormat="1" ht="40.5" customHeight="1" x14ac:dyDescent="0.2">
      <c r="B45" s="1701" t="s">
        <v>593</v>
      </c>
      <c r="C45" s="1696">
        <v>5040</v>
      </c>
      <c r="D45" s="1684">
        <v>165</v>
      </c>
    </row>
    <row r="46" spans="2:6" s="43" customFormat="1" ht="23.25" customHeight="1" x14ac:dyDescent="0.2">
      <c r="B46" s="1698" t="s">
        <v>594</v>
      </c>
      <c r="C46" s="1694">
        <v>63269</v>
      </c>
      <c r="D46" s="1684">
        <v>4445</v>
      </c>
    </row>
    <row r="47" spans="2:6" s="43" customFormat="1" ht="23.25" customHeight="1" x14ac:dyDescent="0.2">
      <c r="B47" s="1699" t="s">
        <v>682</v>
      </c>
      <c r="C47" s="1695"/>
      <c r="D47" s="1691"/>
    </row>
    <row r="48" spans="2:6" s="43" customFormat="1" ht="26.25" customHeight="1" x14ac:dyDescent="0.25">
      <c r="B48" s="1700" t="s">
        <v>72</v>
      </c>
      <c r="C48" s="348"/>
      <c r="D48" s="1692"/>
      <c r="F48" s="203"/>
    </row>
    <row r="49" spans="2:4" s="43" customFormat="1" ht="40.5" customHeight="1" x14ac:dyDescent="0.2">
      <c r="B49" s="1701" t="s">
        <v>442</v>
      </c>
      <c r="C49" s="1696">
        <v>4160</v>
      </c>
      <c r="D49" s="1684">
        <v>2606</v>
      </c>
    </row>
    <row r="50" spans="2:4" s="43" customFormat="1" ht="25.5" customHeight="1" x14ac:dyDescent="0.2">
      <c r="B50" s="1702" t="s">
        <v>598</v>
      </c>
      <c r="C50" s="1697">
        <f>163199-28000-451</f>
        <v>134748</v>
      </c>
      <c r="D50" s="1684">
        <v>3748</v>
      </c>
    </row>
    <row r="51" spans="2:4" s="43" customFormat="1" ht="25.5" customHeight="1" x14ac:dyDescent="0.2">
      <c r="B51" s="1702" t="s">
        <v>605</v>
      </c>
      <c r="C51" s="1697">
        <v>28000</v>
      </c>
      <c r="D51" s="1684"/>
    </row>
    <row r="52" spans="2:4" s="43" customFormat="1" ht="25.5" customHeight="1" x14ac:dyDescent="0.2">
      <c r="B52" s="1702" t="s">
        <v>1286</v>
      </c>
      <c r="C52" s="1697">
        <f>800000-144780-3750</f>
        <v>651470</v>
      </c>
      <c r="D52" s="1684">
        <v>1991</v>
      </c>
    </row>
    <row r="53" spans="2:4" s="43" customFormat="1" ht="25.5" customHeight="1" x14ac:dyDescent="0.2">
      <c r="B53" s="1702" t="s">
        <v>1287</v>
      </c>
      <c r="C53" s="1697">
        <v>144780</v>
      </c>
      <c r="D53" s="1684"/>
    </row>
    <row r="54" spans="2:4" s="43" customFormat="1" ht="25.5" customHeight="1" x14ac:dyDescent="0.2">
      <c r="B54" s="1702" t="s">
        <v>599</v>
      </c>
      <c r="C54" s="1697">
        <f>146054-540</f>
        <v>145514</v>
      </c>
      <c r="D54" s="1684">
        <v>3712</v>
      </c>
    </row>
    <row r="55" spans="2:4" s="43" customFormat="1" ht="25.5" customHeight="1" x14ac:dyDescent="0.2">
      <c r="B55" s="1702" t="s">
        <v>600</v>
      </c>
      <c r="C55" s="1697">
        <v>576025</v>
      </c>
      <c r="D55" s="1684">
        <v>13068</v>
      </c>
    </row>
    <row r="56" spans="2:4" s="43" customFormat="1" ht="25.5" customHeight="1" x14ac:dyDescent="0.2">
      <c r="B56" s="1702" t="s">
        <v>606</v>
      </c>
      <c r="C56" s="1697">
        <v>124004</v>
      </c>
      <c r="D56" s="1684"/>
    </row>
    <row r="57" spans="2:4" s="43" customFormat="1" ht="25.5" customHeight="1" x14ac:dyDescent="0.2">
      <c r="B57" s="1702" t="s">
        <v>602</v>
      </c>
      <c r="C57" s="1697">
        <f>915000-167457-22875</f>
        <v>724668</v>
      </c>
      <c r="D57" s="1684"/>
    </row>
    <row r="58" spans="2:4" s="43" customFormat="1" ht="25.5" customHeight="1" x14ac:dyDescent="0.2">
      <c r="B58" s="1702" t="s">
        <v>607</v>
      </c>
      <c r="C58" s="1697">
        <v>167457</v>
      </c>
      <c r="D58" s="1684"/>
    </row>
    <row r="59" spans="2:4" s="43" customFormat="1" ht="25.5" customHeight="1" x14ac:dyDescent="0.2">
      <c r="B59" s="1702" t="s">
        <v>601</v>
      </c>
      <c r="C59" s="1697">
        <f>1015000-25375</f>
        <v>989625</v>
      </c>
      <c r="D59" s="1684"/>
    </row>
    <row r="60" spans="2:4" s="43" customFormat="1" ht="25.5" customHeight="1" x14ac:dyDescent="0.2">
      <c r="B60" s="1702" t="s">
        <v>621</v>
      </c>
      <c r="C60" s="1697">
        <v>254747</v>
      </c>
      <c r="D60" s="1684">
        <v>6006</v>
      </c>
    </row>
    <row r="61" spans="2:4" s="43" customFormat="1" ht="25.5" customHeight="1" x14ac:dyDescent="0.2">
      <c r="B61" s="1702" t="s">
        <v>1288</v>
      </c>
      <c r="C61" s="1697"/>
      <c r="D61" s="1684"/>
    </row>
    <row r="62" spans="2:4" s="43" customFormat="1" ht="25.5" customHeight="1" x14ac:dyDescent="0.2">
      <c r="B62" s="1702" t="s">
        <v>628</v>
      </c>
      <c r="C62" s="1697">
        <v>69819</v>
      </c>
      <c r="D62" s="1684">
        <v>215</v>
      </c>
    </row>
    <row r="63" spans="2:4" s="43" customFormat="1" ht="25.5" customHeight="1" x14ac:dyDescent="0.2">
      <c r="B63" s="1702" t="s">
        <v>622</v>
      </c>
      <c r="C63" s="1697">
        <v>768937</v>
      </c>
      <c r="D63" s="1684"/>
    </row>
    <row r="64" spans="2:4" s="43" customFormat="1" ht="25.5" customHeight="1" x14ac:dyDescent="0.2">
      <c r="B64" s="1702" t="s">
        <v>1928</v>
      </c>
      <c r="C64" s="1697">
        <v>183158</v>
      </c>
      <c r="D64" s="1684"/>
    </row>
    <row r="65" spans="2:4" s="43" customFormat="1" ht="40.5" customHeight="1" x14ac:dyDescent="0.2">
      <c r="B65" s="1703" t="s">
        <v>1289</v>
      </c>
      <c r="C65" s="1697"/>
      <c r="D65" s="1693"/>
    </row>
    <row r="66" spans="2:4" s="43" customFormat="1" ht="25.5" customHeight="1" x14ac:dyDescent="0.2">
      <c r="B66" s="1702" t="s">
        <v>610</v>
      </c>
      <c r="C66" s="1697">
        <v>919535</v>
      </c>
      <c r="D66" s="1684"/>
    </row>
    <row r="67" spans="2:4" s="43" customFormat="1" ht="25.5" customHeight="1" x14ac:dyDescent="0.2">
      <c r="B67" s="1702" t="s">
        <v>645</v>
      </c>
      <c r="C67" s="1697">
        <v>206590</v>
      </c>
      <c r="D67" s="1684"/>
    </row>
    <row r="68" spans="2:4" s="43" customFormat="1" ht="25.5" customHeight="1" x14ac:dyDescent="0.2">
      <c r="B68" s="1702" t="s">
        <v>627</v>
      </c>
      <c r="C68" s="1697">
        <v>630510</v>
      </c>
      <c r="D68" s="1684"/>
    </row>
    <row r="69" spans="2:4" s="43" customFormat="1" ht="25.5" customHeight="1" x14ac:dyDescent="0.2">
      <c r="B69" s="1702" t="s">
        <v>1290</v>
      </c>
      <c r="C69" s="1697"/>
      <c r="D69" s="1684"/>
    </row>
    <row r="70" spans="2:4" s="43" customFormat="1" ht="25.5" customHeight="1" x14ac:dyDescent="0.2">
      <c r="B70" s="1702" t="s">
        <v>612</v>
      </c>
      <c r="C70" s="1697">
        <v>296128</v>
      </c>
      <c r="D70" s="1684"/>
    </row>
    <row r="71" spans="2:4" s="43" customFormat="1" ht="25.5" customHeight="1" x14ac:dyDescent="0.2">
      <c r="B71" s="1702" t="s">
        <v>624</v>
      </c>
      <c r="C71" s="1697">
        <v>182993</v>
      </c>
      <c r="D71" s="1684"/>
    </row>
    <row r="72" spans="2:4" s="43" customFormat="1" ht="25.5" customHeight="1" x14ac:dyDescent="0.2">
      <c r="B72" s="1702" t="s">
        <v>625</v>
      </c>
      <c r="C72" s="1697">
        <v>294312</v>
      </c>
      <c r="D72" s="1684"/>
    </row>
    <row r="73" spans="2:4" s="43" customFormat="1" ht="25.5" customHeight="1" x14ac:dyDescent="0.2">
      <c r="B73" s="1702" t="s">
        <v>615</v>
      </c>
      <c r="C73" s="1697">
        <v>444600</v>
      </c>
      <c r="D73" s="1684"/>
    </row>
    <row r="74" spans="2:4" s="43" customFormat="1" ht="25.5" customHeight="1" x14ac:dyDescent="0.2">
      <c r="B74" s="1702" t="s">
        <v>1291</v>
      </c>
      <c r="C74" s="1697"/>
      <c r="D74" s="1684"/>
    </row>
    <row r="75" spans="2:4" s="43" customFormat="1" ht="25.5" customHeight="1" x14ac:dyDescent="0.2">
      <c r="B75" s="1702" t="s">
        <v>1292</v>
      </c>
      <c r="C75" s="1697"/>
      <c r="D75" s="1684"/>
    </row>
    <row r="76" spans="2:4" s="43" customFormat="1" ht="25.5" customHeight="1" x14ac:dyDescent="0.2">
      <c r="B76" s="1702" t="s">
        <v>629</v>
      </c>
      <c r="C76" s="1697">
        <v>376215</v>
      </c>
      <c r="D76" s="1684"/>
    </row>
    <row r="77" spans="2:4" s="43" customFormat="1" ht="25.5" customHeight="1" x14ac:dyDescent="0.2">
      <c r="B77" s="1702" t="s">
        <v>626</v>
      </c>
      <c r="C77" s="1697">
        <v>294058</v>
      </c>
      <c r="D77" s="1684"/>
    </row>
    <row r="78" spans="2:4" s="43" customFormat="1" ht="25.5" customHeight="1" x14ac:dyDescent="0.2">
      <c r="B78" s="1702" t="s">
        <v>639</v>
      </c>
      <c r="C78" s="1697">
        <v>564000</v>
      </c>
      <c r="D78" s="1684">
        <v>9822</v>
      </c>
    </row>
    <row r="79" spans="2:4" s="43" customFormat="1" ht="25.5" customHeight="1" x14ac:dyDescent="0.2">
      <c r="B79" s="1702" t="s">
        <v>1293</v>
      </c>
      <c r="C79" s="1697"/>
      <c r="D79" s="1684"/>
    </row>
    <row r="80" spans="2:4" s="43" customFormat="1" ht="25.5" customHeight="1" x14ac:dyDescent="0.2">
      <c r="B80" s="1702" t="s">
        <v>640</v>
      </c>
      <c r="C80" s="1697">
        <v>1312225</v>
      </c>
      <c r="D80" s="1684"/>
    </row>
    <row r="81" spans="1:8" s="43" customFormat="1" ht="25.5" customHeight="1" x14ac:dyDescent="0.2">
      <c r="B81" s="1702" t="s">
        <v>1294</v>
      </c>
      <c r="C81" s="1697">
        <v>288775</v>
      </c>
      <c r="D81" s="1684"/>
    </row>
    <row r="82" spans="1:8" ht="24" customHeight="1" thickBot="1" x14ac:dyDescent="0.3">
      <c r="B82" s="608" t="s">
        <v>686</v>
      </c>
      <c r="C82" s="617">
        <f>SUM(C41:C81)</f>
        <v>10868995</v>
      </c>
      <c r="D82" s="1704">
        <f>SUM(D41:D81)</f>
        <v>50083</v>
      </c>
    </row>
    <row r="88" spans="1:8" ht="15" x14ac:dyDescent="0.2">
      <c r="E88" s="391"/>
      <c r="F88" s="74"/>
      <c r="G88" s="618"/>
      <c r="H88" s="619"/>
    </row>
    <row r="89" spans="1:8" x14ac:dyDescent="0.2">
      <c r="E89" s="619"/>
      <c r="F89" s="619"/>
      <c r="G89" s="619"/>
      <c r="H89" s="619"/>
    </row>
    <row r="90" spans="1:8" s="12" customFormat="1" ht="33.75" customHeight="1" x14ac:dyDescent="0.2">
      <c r="A90" s="102"/>
    </row>
    <row r="92" spans="1:8" s="8" customFormat="1" ht="36" customHeight="1" x14ac:dyDescent="0.2">
      <c r="A92" s="100"/>
    </row>
    <row r="93" spans="1:8" s="8" customFormat="1" ht="21.75" customHeight="1" x14ac:dyDescent="0.2">
      <c r="A93" s="100"/>
    </row>
    <row r="94" spans="1:8" s="8" customFormat="1" ht="36" customHeight="1" x14ac:dyDescent="0.2">
      <c r="A94" s="100"/>
    </row>
    <row r="95" spans="1:8" s="8" customFormat="1" ht="39" customHeight="1" x14ac:dyDescent="0.2">
      <c r="A95" s="100"/>
    </row>
    <row r="96" spans="1:8" s="8" customFormat="1" ht="39" customHeight="1" x14ac:dyDescent="0.2">
      <c r="A96" s="100"/>
    </row>
    <row r="97" spans="1:4" s="8" customFormat="1" ht="36" customHeight="1" x14ac:dyDescent="0.2">
      <c r="A97" s="100"/>
    </row>
    <row r="99" spans="1:4" x14ac:dyDescent="0.2">
      <c r="C99" s="620">
        <f>SUM(C49:C97)</f>
        <v>21646048</v>
      </c>
      <c r="D99" s="620">
        <f>SUM(D49:D97)</f>
        <v>91251</v>
      </c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</oddHeader>
  </headerFooter>
  <rowBreaks count="1" manualBreakCount="1">
    <brk id="36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zoomScale="75" zoomScaleNormal="75" workbookViewId="0">
      <selection activeCell="B1" sqref="B1:H1"/>
    </sheetView>
  </sheetViews>
  <sheetFormatPr defaultColWidth="10.6640625" defaultRowHeight="15" customHeight="1" x14ac:dyDescent="0.2"/>
  <cols>
    <col min="1" max="1" width="9.33203125" style="43" customWidth="1"/>
    <col min="2" max="2" width="7.6640625" style="43" customWidth="1"/>
    <col min="3" max="3" width="118.33203125" style="43" customWidth="1"/>
    <col min="4" max="5" width="19.1640625" style="43" customWidth="1"/>
    <col min="6" max="6" width="17.6640625" style="43" customWidth="1"/>
    <col min="7" max="8" width="15.6640625" style="43" bestFit="1" customWidth="1"/>
    <col min="9" max="16384" width="10.6640625" style="43"/>
  </cols>
  <sheetData>
    <row r="1" spans="2:8" s="621" customFormat="1" ht="24" customHeight="1" x14ac:dyDescent="0.25">
      <c r="B1" s="2715" t="s">
        <v>663</v>
      </c>
      <c r="C1" s="2715"/>
      <c r="D1" s="2715"/>
      <c r="E1" s="2715"/>
      <c r="F1" s="2715"/>
      <c r="G1" s="2715"/>
      <c r="H1" s="2715"/>
    </row>
    <row r="2" spans="2:8" s="621" customFormat="1" ht="24" customHeight="1" x14ac:dyDescent="0.25">
      <c r="B2" s="2716" t="s">
        <v>1295</v>
      </c>
      <c r="C2" s="2716"/>
      <c r="D2" s="2716"/>
      <c r="E2" s="2716"/>
      <c r="F2" s="2716"/>
      <c r="G2" s="2716"/>
      <c r="H2" s="2716"/>
    </row>
    <row r="3" spans="2:8" s="621" customFormat="1" ht="24" customHeight="1" x14ac:dyDescent="0.25">
      <c r="B3" s="2717" t="s">
        <v>687</v>
      </c>
      <c r="C3" s="2717"/>
      <c r="D3" s="2717"/>
      <c r="E3" s="2717"/>
      <c r="F3" s="2717"/>
      <c r="G3" s="2717"/>
      <c r="H3" s="2717"/>
    </row>
    <row r="4" spans="2:8" s="623" customFormat="1" ht="18.95" customHeight="1" thickBot="1" x14ac:dyDescent="0.25">
      <c r="B4" s="622"/>
      <c r="C4" s="622"/>
      <c r="D4" s="622"/>
      <c r="E4" s="622"/>
      <c r="F4" s="622"/>
      <c r="G4" s="622"/>
      <c r="H4" s="15" t="s">
        <v>38</v>
      </c>
    </row>
    <row r="5" spans="2:8" ht="18.95" customHeight="1" x14ac:dyDescent="0.25">
      <c r="B5" s="2718" t="s">
        <v>59</v>
      </c>
      <c r="C5" s="2719"/>
      <c r="D5" s="1549" t="s">
        <v>259</v>
      </c>
      <c r="E5" s="597" t="s">
        <v>259</v>
      </c>
      <c r="F5" s="1550" t="s">
        <v>688</v>
      </c>
      <c r="G5" s="597" t="s">
        <v>689</v>
      </c>
      <c r="H5" s="624" t="s">
        <v>1296</v>
      </c>
    </row>
    <row r="6" spans="2:8" ht="18.95" customHeight="1" thickBot="1" x14ac:dyDescent="0.3">
      <c r="B6" s="193"/>
      <c r="C6" s="194"/>
      <c r="D6" s="99" t="s">
        <v>204</v>
      </c>
      <c r="E6" s="600" t="s">
        <v>205</v>
      </c>
      <c r="F6" s="625" t="s">
        <v>406</v>
      </c>
      <c r="G6" s="600" t="s">
        <v>406</v>
      </c>
      <c r="H6" s="601" t="s">
        <v>406</v>
      </c>
    </row>
    <row r="7" spans="2:8" ht="24.75" customHeight="1" x14ac:dyDescent="0.25">
      <c r="B7" s="626"/>
      <c r="C7" s="627" t="s">
        <v>690</v>
      </c>
      <c r="D7" s="628"/>
      <c r="E7" s="73"/>
      <c r="F7" s="391"/>
      <c r="G7" s="73"/>
      <c r="H7" s="629"/>
    </row>
    <row r="8" spans="2:8" ht="24.75" customHeight="1" thickBot="1" x14ac:dyDescent="0.3">
      <c r="B8" s="630"/>
      <c r="C8" s="631" t="s">
        <v>691</v>
      </c>
      <c r="D8" s="632">
        <f>SUM(D7:D7)</f>
        <v>0</v>
      </c>
      <c r="E8" s="525">
        <f>SUM(E7:E7)</f>
        <v>0</v>
      </c>
      <c r="F8" s="633">
        <f>SUM(F7:F7)</f>
        <v>0</v>
      </c>
      <c r="G8" s="525">
        <f>SUM(G7:G7)</f>
        <v>0</v>
      </c>
      <c r="H8" s="634">
        <f>SUM(H7:H7)</f>
        <v>0</v>
      </c>
    </row>
    <row r="9" spans="2:8" ht="24.75" customHeight="1" x14ac:dyDescent="0.25">
      <c r="B9" s="626"/>
      <c r="C9" s="627" t="s">
        <v>163</v>
      </c>
      <c r="D9" s="635"/>
      <c r="E9" s="636"/>
      <c r="F9" s="637"/>
      <c r="G9" s="524"/>
      <c r="H9" s="638"/>
    </row>
    <row r="10" spans="2:8" ht="24.75" customHeight="1" x14ac:dyDescent="0.25">
      <c r="B10" s="113"/>
      <c r="C10" s="643" t="s">
        <v>180</v>
      </c>
      <c r="D10" s="628">
        <v>50000</v>
      </c>
      <c r="E10" s="73">
        <v>50000</v>
      </c>
      <c r="F10" s="391">
        <v>50000</v>
      </c>
      <c r="G10" s="73">
        <v>150000</v>
      </c>
      <c r="H10" s="629"/>
    </row>
    <row r="11" spans="2:8" ht="24.75" customHeight="1" thickBot="1" x14ac:dyDescent="0.3">
      <c r="B11" s="644"/>
      <c r="C11" s="631"/>
      <c r="D11" s="632">
        <f>SUM(D10:D10)</f>
        <v>50000</v>
      </c>
      <c r="E11" s="525">
        <f>SUM(E10:E10)</f>
        <v>50000</v>
      </c>
      <c r="F11" s="633">
        <f>SUM(F10:F10)</f>
        <v>50000</v>
      </c>
      <c r="G11" s="525">
        <f>SUM(G10:G10)</f>
        <v>150000</v>
      </c>
      <c r="H11" s="634">
        <f>SUM(H10:H10)</f>
        <v>0</v>
      </c>
    </row>
    <row r="12" spans="2:8" ht="24.75" customHeight="1" x14ac:dyDescent="0.25">
      <c r="B12" s="626"/>
      <c r="C12" s="627" t="s">
        <v>381</v>
      </c>
      <c r="D12" s="647"/>
      <c r="E12" s="72"/>
      <c r="F12" s="648"/>
      <c r="G12" s="73"/>
      <c r="H12" s="629"/>
    </row>
    <row r="13" spans="2:8" ht="24.75" customHeight="1" x14ac:dyDescent="0.25">
      <c r="B13" s="113"/>
      <c r="C13" s="651" t="s">
        <v>291</v>
      </c>
      <c r="D13" s="628">
        <v>71766</v>
      </c>
      <c r="E13" s="73">
        <v>24603</v>
      </c>
      <c r="F13" s="391">
        <v>40000</v>
      </c>
      <c r="G13" s="73">
        <v>40000</v>
      </c>
      <c r="H13" s="629">
        <v>40000</v>
      </c>
    </row>
    <row r="14" spans="2:8" ht="24.75" customHeight="1" thickBot="1" x14ac:dyDescent="0.3">
      <c r="B14" s="644"/>
      <c r="C14" s="631" t="s">
        <v>692</v>
      </c>
      <c r="D14" s="632">
        <f>SUM(D13:D13)</f>
        <v>71766</v>
      </c>
      <c r="E14" s="525">
        <f>SUM(E13:E13)</f>
        <v>24603</v>
      </c>
      <c r="F14" s="633">
        <f>SUM(F13:F13)</f>
        <v>40000</v>
      </c>
      <c r="G14" s="525">
        <f>SUM(G13:G13)</f>
        <v>40000</v>
      </c>
      <c r="H14" s="634">
        <f>SUM(H13:H13)</f>
        <v>40000</v>
      </c>
    </row>
    <row r="15" spans="2:8" ht="24.75" customHeight="1" x14ac:dyDescent="0.25">
      <c r="B15" s="626"/>
      <c r="C15" s="627" t="s">
        <v>385</v>
      </c>
      <c r="D15" s="647"/>
      <c r="E15" s="72"/>
      <c r="F15" s="648"/>
      <c r="G15" s="73"/>
      <c r="H15" s="629"/>
    </row>
    <row r="16" spans="2:8" ht="24.75" customHeight="1" x14ac:dyDescent="0.25">
      <c r="B16" s="113"/>
      <c r="C16" s="651" t="s">
        <v>1297</v>
      </c>
      <c r="D16" s="628">
        <v>14877</v>
      </c>
      <c r="E16" s="73">
        <v>12736</v>
      </c>
      <c r="F16" s="391">
        <v>30000</v>
      </c>
      <c r="G16" s="73">
        <v>30000</v>
      </c>
      <c r="H16" s="629">
        <v>30000</v>
      </c>
    </row>
    <row r="17" spans="2:8" ht="24.75" customHeight="1" thickBot="1" x14ac:dyDescent="0.3">
      <c r="B17" s="644"/>
      <c r="C17" s="631"/>
      <c r="D17" s="632">
        <f>SUM(D16)</f>
        <v>14877</v>
      </c>
      <c r="E17" s="632">
        <f t="shared" ref="E17:H17" si="0">SUM(E16)</f>
        <v>12736</v>
      </c>
      <c r="F17" s="632">
        <f t="shared" si="0"/>
        <v>30000</v>
      </c>
      <c r="G17" s="632">
        <f t="shared" si="0"/>
        <v>30000</v>
      </c>
      <c r="H17" s="1811">
        <f t="shared" si="0"/>
        <v>30000</v>
      </c>
    </row>
    <row r="18" spans="2:8" ht="24.75" customHeight="1" x14ac:dyDescent="0.25">
      <c r="B18" s="626"/>
      <c r="C18" s="652" t="s">
        <v>392</v>
      </c>
      <c r="D18" s="653"/>
      <c r="E18" s="654"/>
      <c r="F18" s="655"/>
      <c r="G18" s="656"/>
      <c r="H18" s="657"/>
    </row>
    <row r="19" spans="2:8" ht="24.75" customHeight="1" x14ac:dyDescent="0.25">
      <c r="B19" s="113"/>
      <c r="C19" s="663" t="s">
        <v>693</v>
      </c>
      <c r="D19" s="658">
        <v>234129</v>
      </c>
      <c r="E19" s="659">
        <v>2747</v>
      </c>
      <c r="F19" s="660">
        <v>500000</v>
      </c>
      <c r="G19" s="659">
        <v>1000000</v>
      </c>
      <c r="H19" s="661">
        <v>1500000</v>
      </c>
    </row>
    <row r="20" spans="2:8" ht="24.75" customHeight="1" x14ac:dyDescent="0.25">
      <c r="B20" s="662"/>
      <c r="C20" s="663" t="s">
        <v>218</v>
      </c>
      <c r="D20" s="658">
        <v>185373</v>
      </c>
      <c r="E20" s="659">
        <v>88759</v>
      </c>
      <c r="F20" s="660">
        <v>105000</v>
      </c>
      <c r="G20" s="659">
        <v>105000</v>
      </c>
      <c r="H20" s="661">
        <v>105000</v>
      </c>
    </row>
    <row r="21" spans="2:8" ht="24.75" customHeight="1" thickBot="1" x14ac:dyDescent="0.3">
      <c r="B21" s="644"/>
      <c r="C21" s="664" t="s">
        <v>694</v>
      </c>
      <c r="D21" s="632">
        <f>SUM(D19:D20)</f>
        <v>419502</v>
      </c>
      <c r="E21" s="525">
        <f>SUM(E19:E20)</f>
        <v>91506</v>
      </c>
      <c r="F21" s="633">
        <f>SUM(F19:F20)</f>
        <v>605000</v>
      </c>
      <c r="G21" s="525">
        <f>SUM(G19:G20)</f>
        <v>1105000</v>
      </c>
      <c r="H21" s="634">
        <f>SUM(H19:H20)</f>
        <v>1605000</v>
      </c>
    </row>
    <row r="22" spans="2:8" ht="24.75" customHeight="1" x14ac:dyDescent="0.25">
      <c r="B22" s="645"/>
      <c r="C22" s="646" t="s">
        <v>113</v>
      </c>
      <c r="D22" s="647"/>
      <c r="E22" s="72"/>
      <c r="F22" s="648"/>
      <c r="G22" s="73"/>
      <c r="H22" s="629"/>
    </row>
    <row r="23" spans="2:8" ht="24.75" customHeight="1" x14ac:dyDescent="0.25">
      <c r="B23" s="113"/>
      <c r="C23" s="649" t="s">
        <v>113</v>
      </c>
      <c r="D23" s="639">
        <v>26346</v>
      </c>
      <c r="E23" s="640">
        <v>15726</v>
      </c>
      <c r="F23" s="641">
        <v>20000</v>
      </c>
      <c r="G23" s="640">
        <v>20000</v>
      </c>
      <c r="H23" s="642">
        <v>20000</v>
      </c>
    </row>
    <row r="24" spans="2:8" ht="24.75" customHeight="1" thickBot="1" x14ac:dyDescent="0.3">
      <c r="B24" s="644"/>
      <c r="C24" s="650"/>
      <c r="D24" s="632">
        <f>SUM(D23)</f>
        <v>26346</v>
      </c>
      <c r="E24" s="525">
        <f>SUM(E23)</f>
        <v>15726</v>
      </c>
      <c r="F24" s="633">
        <f>SUM(F23)</f>
        <v>20000</v>
      </c>
      <c r="G24" s="525">
        <f>SUM(G23)</f>
        <v>20000</v>
      </c>
      <c r="H24" s="634">
        <f>SUM(H23)</f>
        <v>20000</v>
      </c>
    </row>
    <row r="25" spans="2:8" ht="24.75" customHeight="1" thickBot="1" x14ac:dyDescent="0.3">
      <c r="B25" s="665"/>
      <c r="C25" s="666" t="s">
        <v>261</v>
      </c>
      <c r="D25" s="667">
        <f>+D8+D11+D14+D17+D21+D24</f>
        <v>582491</v>
      </c>
      <c r="E25" s="667">
        <f t="shared" ref="E25:H25" si="1">+E8+E11+E14+E17+E21+E24</f>
        <v>194571</v>
      </c>
      <c r="F25" s="667">
        <f t="shared" si="1"/>
        <v>745000</v>
      </c>
      <c r="G25" s="667">
        <f t="shared" si="1"/>
        <v>1345000</v>
      </c>
      <c r="H25" s="1812">
        <f t="shared" si="1"/>
        <v>1695000</v>
      </c>
    </row>
    <row r="26" spans="2:8" ht="24.75" customHeight="1" x14ac:dyDescent="0.25">
      <c r="B26" s="668"/>
      <c r="C26" s="627"/>
      <c r="D26" s="452"/>
      <c r="E26" s="452"/>
      <c r="F26" s="452"/>
      <c r="G26" s="452"/>
      <c r="H26" s="452"/>
    </row>
    <row r="27" spans="2:8" ht="21.75" customHeight="1" x14ac:dyDescent="0.25">
      <c r="C27" s="669" t="s">
        <v>695</v>
      </c>
    </row>
    <row r="28" spans="2:8" s="670" customFormat="1" ht="18.95" customHeight="1" x14ac:dyDescent="0.25">
      <c r="C28" s="671" t="s">
        <v>696</v>
      </c>
    </row>
    <row r="29" spans="2:8" s="670" customFormat="1" ht="18.95" customHeight="1" x14ac:dyDescent="0.25">
      <c r="C29" s="671" t="s">
        <v>697</v>
      </c>
    </row>
    <row r="30" spans="2:8" s="670" customFormat="1" ht="18.95" customHeight="1" x14ac:dyDescent="0.25">
      <c r="C30" s="670" t="s">
        <v>698</v>
      </c>
    </row>
    <row r="31" spans="2:8" ht="18.95" customHeight="1" x14ac:dyDescent="0.2"/>
    <row r="32" spans="2:8" ht="18.95" customHeight="1" x14ac:dyDescent="0.2"/>
    <row r="33" ht="18.95" customHeight="1" x14ac:dyDescent="0.2"/>
    <row r="34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verticalDpi="300" r:id="rId1"/>
  <headerFooter alignWithMargins="0">
    <oddHeader xml:space="preserve">&amp;C
&amp;R&amp;"Arial CE,Normál"&amp;18 &amp;"Arial CE,Félkövér"&amp;14 22. melléklet&amp;"Arial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40"/>
  <sheetViews>
    <sheetView zoomScale="85" zoomScaleNormal="85" zoomScaleSheetLayoutView="80" workbookViewId="0">
      <selection activeCell="B1" sqref="B1:E1"/>
    </sheetView>
  </sheetViews>
  <sheetFormatPr defaultColWidth="10.6640625" defaultRowHeight="12.75" x14ac:dyDescent="0.2"/>
  <cols>
    <col min="1" max="1" width="4.6640625" style="672" customWidth="1"/>
    <col min="2" max="2" width="9.33203125" style="750" customWidth="1"/>
    <col min="3" max="3" width="10.6640625" style="672" customWidth="1"/>
    <col min="4" max="4" width="57.33203125" style="672" customWidth="1"/>
    <col min="5" max="5" width="27.33203125" style="672" customWidth="1"/>
    <col min="6" max="7" width="30.6640625" style="672" customWidth="1"/>
    <col min="8" max="8" width="10.6640625" style="672"/>
    <col min="9" max="9" width="18.33203125" style="672" customWidth="1"/>
    <col min="10" max="16384" width="10.6640625" style="672"/>
  </cols>
  <sheetData>
    <row r="4" spans="2:8" ht="17.25" customHeight="1" x14ac:dyDescent="0.25">
      <c r="B4" s="2722" t="s">
        <v>1302</v>
      </c>
      <c r="C4" s="2722"/>
      <c r="D4" s="2722"/>
      <c r="E4" s="2722"/>
      <c r="F4" s="2722"/>
      <c r="G4" s="2722"/>
    </row>
    <row r="5" spans="2:8" ht="17.25" customHeight="1" x14ac:dyDescent="0.2">
      <c r="B5" s="673"/>
      <c r="C5" s="673"/>
      <c r="D5" s="673"/>
      <c r="E5" s="673"/>
    </row>
    <row r="6" spans="2:8" s="674" customFormat="1" ht="15.75" x14ac:dyDescent="0.25">
      <c r="B6" s="2723" t="s">
        <v>699</v>
      </c>
      <c r="C6" s="2723"/>
      <c r="D6" s="2723"/>
      <c r="E6" s="2723"/>
      <c r="F6" s="2724"/>
      <c r="G6" s="2724"/>
    </row>
    <row r="7" spans="2:8" s="674" customFormat="1" ht="16.5" thickBot="1" x14ac:dyDescent="0.3">
      <c r="B7" s="675"/>
      <c r="C7" s="675"/>
      <c r="D7" s="675"/>
      <c r="E7" s="675"/>
      <c r="F7" s="15" t="s">
        <v>38</v>
      </c>
      <c r="G7" s="15" t="s">
        <v>38</v>
      </c>
    </row>
    <row r="8" spans="2:8" s="674" customFormat="1" ht="20.25" customHeight="1" x14ac:dyDescent="0.25">
      <c r="B8" s="676"/>
      <c r="C8" s="2725" t="s">
        <v>59</v>
      </c>
      <c r="D8" s="2726"/>
      <c r="E8" s="677"/>
      <c r="F8" s="678" t="s">
        <v>700</v>
      </c>
      <c r="G8" s="678" t="s">
        <v>1300</v>
      </c>
    </row>
    <row r="9" spans="2:8" s="674" customFormat="1" ht="16.5" customHeight="1" x14ac:dyDescent="0.25">
      <c r="B9" s="679"/>
      <c r="C9" s="679"/>
      <c r="D9" s="680"/>
      <c r="E9" s="681"/>
      <c r="F9" s="682" t="s">
        <v>701</v>
      </c>
      <c r="G9" s="682" t="s">
        <v>701</v>
      </c>
    </row>
    <row r="10" spans="2:8" s="674" customFormat="1" ht="16.5" customHeight="1" thickBot="1" x14ac:dyDescent="0.3">
      <c r="B10" s="683"/>
      <c r="C10" s="683"/>
      <c r="D10" s="684"/>
      <c r="E10" s="685"/>
      <c r="F10" s="686" t="s">
        <v>702</v>
      </c>
      <c r="G10" s="686" t="s">
        <v>1301</v>
      </c>
    </row>
    <row r="11" spans="2:8" s="674" customFormat="1" ht="16.5" customHeight="1" x14ac:dyDescent="0.25">
      <c r="B11" s="679"/>
      <c r="C11" s="679"/>
      <c r="D11" s="680"/>
      <c r="E11" s="681"/>
      <c r="F11" s="687"/>
      <c r="G11" s="687"/>
    </row>
    <row r="12" spans="2:8" s="674" customFormat="1" ht="14.25" customHeight="1" x14ac:dyDescent="0.2">
      <c r="B12" s="688"/>
      <c r="C12" s="689" t="s">
        <v>703</v>
      </c>
      <c r="D12" s="690"/>
      <c r="E12" s="691" t="s">
        <v>704</v>
      </c>
      <c r="F12" s="693">
        <v>40487</v>
      </c>
      <c r="G12" s="693">
        <v>37786</v>
      </c>
    </row>
    <row r="13" spans="2:8" s="674" customFormat="1" ht="15" x14ac:dyDescent="0.2">
      <c r="B13" s="688"/>
      <c r="C13" s="689"/>
      <c r="D13" s="690"/>
      <c r="E13" s="691" t="s">
        <v>705</v>
      </c>
      <c r="F13" s="693">
        <v>35702</v>
      </c>
      <c r="G13" s="693">
        <v>28637</v>
      </c>
    </row>
    <row r="14" spans="2:8" s="674" customFormat="1" ht="16.5" customHeight="1" x14ac:dyDescent="0.25">
      <c r="B14" s="694" t="s">
        <v>706</v>
      </c>
      <c r="C14" s="695" t="s">
        <v>703</v>
      </c>
      <c r="D14" s="696"/>
      <c r="E14" s="697" t="s">
        <v>707</v>
      </c>
      <c r="F14" s="699">
        <f>SUM(F12:F13)</f>
        <v>76189</v>
      </c>
      <c r="G14" s="699">
        <f>SUM(G12:G13)</f>
        <v>66423</v>
      </c>
    </row>
    <row r="15" spans="2:8" s="674" customFormat="1" ht="15.6" customHeight="1" x14ac:dyDescent="0.25">
      <c r="B15" s="700"/>
      <c r="C15" s="701"/>
      <c r="D15" s="702"/>
      <c r="E15" s="681"/>
      <c r="F15" s="704"/>
      <c r="G15" s="704"/>
    </row>
    <row r="16" spans="2:8" s="674" customFormat="1" ht="15" customHeight="1" x14ac:dyDescent="0.2">
      <c r="B16" s="688"/>
      <c r="C16" s="689" t="s">
        <v>708</v>
      </c>
      <c r="D16" s="690"/>
      <c r="E16" s="691" t="s">
        <v>704</v>
      </c>
      <c r="F16" s="693">
        <v>5602</v>
      </c>
      <c r="G16" s="693">
        <v>2525</v>
      </c>
      <c r="H16" s="1817"/>
    </row>
    <row r="17" spans="2:7" s="674" customFormat="1" ht="15" x14ac:dyDescent="0.2">
      <c r="B17" s="688"/>
      <c r="C17" s="689"/>
      <c r="D17" s="690"/>
      <c r="E17" s="691" t="s">
        <v>705</v>
      </c>
      <c r="F17" s="693">
        <v>11180</v>
      </c>
      <c r="G17" s="693">
        <v>1562</v>
      </c>
    </row>
    <row r="18" spans="2:7" s="674" customFormat="1" ht="16.5" customHeight="1" x14ac:dyDescent="0.25">
      <c r="B18" s="694" t="s">
        <v>709</v>
      </c>
      <c r="C18" s="695" t="s">
        <v>708</v>
      </c>
      <c r="D18" s="696"/>
      <c r="E18" s="697" t="s">
        <v>707</v>
      </c>
      <c r="F18" s="699">
        <f>SUM(F16:F17)</f>
        <v>16782</v>
      </c>
      <c r="G18" s="699">
        <f>SUM(G16:G17)</f>
        <v>4087</v>
      </c>
    </row>
    <row r="19" spans="2:7" s="674" customFormat="1" ht="15.6" customHeight="1" x14ac:dyDescent="0.25">
      <c r="B19" s="700"/>
      <c r="C19" s="701"/>
      <c r="D19" s="702"/>
      <c r="E19" s="681"/>
      <c r="F19" s="704"/>
      <c r="G19" s="704"/>
    </row>
    <row r="20" spans="2:7" s="674" customFormat="1" ht="15" x14ac:dyDescent="0.2">
      <c r="B20" s="688"/>
      <c r="C20" s="705" t="s">
        <v>710</v>
      </c>
      <c r="D20" s="690"/>
      <c r="E20" s="691" t="s">
        <v>704</v>
      </c>
      <c r="F20" s="693">
        <f>+F12+F16</f>
        <v>46089</v>
      </c>
      <c r="G20" s="693">
        <f>+G12+G16</f>
        <v>40311</v>
      </c>
    </row>
    <row r="21" spans="2:7" s="674" customFormat="1" ht="15" x14ac:dyDescent="0.2">
      <c r="B21" s="688"/>
      <c r="C21" s="689"/>
      <c r="D21" s="690"/>
      <c r="E21" s="691" t="s">
        <v>705</v>
      </c>
      <c r="F21" s="693">
        <f>+F13+F17</f>
        <v>46882</v>
      </c>
      <c r="G21" s="693">
        <f>+G13+G17</f>
        <v>30199</v>
      </c>
    </row>
    <row r="22" spans="2:7" s="674" customFormat="1" ht="16.5" customHeight="1" thickBot="1" x14ac:dyDescent="0.3">
      <c r="B22" s="706" t="s">
        <v>711</v>
      </c>
      <c r="C22" s="707" t="s">
        <v>712</v>
      </c>
      <c r="D22" s="708"/>
      <c r="E22" s="709" t="s">
        <v>707</v>
      </c>
      <c r="F22" s="711">
        <f>SUM(F20:F21)</f>
        <v>92971</v>
      </c>
      <c r="G22" s="711">
        <f>SUM(G20:G21)</f>
        <v>70510</v>
      </c>
    </row>
    <row r="23" spans="2:7" s="674" customFormat="1" ht="15.6" customHeight="1" x14ac:dyDescent="0.25">
      <c r="B23" s="700"/>
      <c r="C23" s="701"/>
      <c r="D23" s="702"/>
      <c r="E23" s="701"/>
      <c r="F23" s="712"/>
      <c r="G23" s="712"/>
    </row>
    <row r="24" spans="2:7" s="674" customFormat="1" ht="14.25" customHeight="1" x14ac:dyDescent="0.2">
      <c r="B24" s="688"/>
      <c r="C24" s="689" t="s">
        <v>713</v>
      </c>
      <c r="D24" s="690"/>
      <c r="E24" s="689" t="s">
        <v>704</v>
      </c>
      <c r="F24" s="692">
        <v>7911265</v>
      </c>
      <c r="G24" s="692">
        <v>7829772</v>
      </c>
    </row>
    <row r="25" spans="2:7" s="674" customFormat="1" ht="15" x14ac:dyDescent="0.2">
      <c r="B25" s="688"/>
      <c r="C25" s="689"/>
      <c r="D25" s="690"/>
      <c r="E25" s="689" t="s">
        <v>705</v>
      </c>
      <c r="F25" s="692">
        <v>60943445</v>
      </c>
      <c r="G25" s="692">
        <f>59845105+1</f>
        <v>59845106</v>
      </c>
    </row>
    <row r="26" spans="2:7" s="674" customFormat="1" ht="16.5" customHeight="1" x14ac:dyDescent="0.25">
      <c r="B26" s="694" t="s">
        <v>714</v>
      </c>
      <c r="C26" s="695" t="s">
        <v>715</v>
      </c>
      <c r="D26" s="696"/>
      <c r="E26" s="695" t="s">
        <v>707</v>
      </c>
      <c r="F26" s="698">
        <f>SUM(F24:F25)</f>
        <v>68854710</v>
      </c>
      <c r="G26" s="698">
        <f>SUM(G24:G25)</f>
        <v>67674878</v>
      </c>
    </row>
    <row r="27" spans="2:7" s="674" customFormat="1" ht="15.6" customHeight="1" x14ac:dyDescent="0.25">
      <c r="B27" s="700"/>
      <c r="C27" s="701"/>
      <c r="D27" s="702"/>
      <c r="E27" s="701"/>
      <c r="F27" s="703"/>
      <c r="G27" s="703"/>
    </row>
    <row r="28" spans="2:7" s="674" customFormat="1" ht="15" customHeight="1" x14ac:dyDescent="0.2">
      <c r="B28" s="688"/>
      <c r="C28" s="689" t="s">
        <v>716</v>
      </c>
      <c r="D28" s="690"/>
      <c r="E28" s="689" t="s">
        <v>704</v>
      </c>
      <c r="F28" s="692">
        <v>388079</v>
      </c>
      <c r="G28" s="692">
        <v>390096</v>
      </c>
    </row>
    <row r="29" spans="2:7" s="674" customFormat="1" ht="15" x14ac:dyDescent="0.2">
      <c r="B29" s="688"/>
      <c r="C29" s="689"/>
      <c r="D29" s="690"/>
      <c r="E29" s="689" t="s">
        <v>705</v>
      </c>
      <c r="F29" s="692">
        <v>1451284</v>
      </c>
      <c r="G29" s="692">
        <v>1299491</v>
      </c>
    </row>
    <row r="30" spans="2:7" s="674" customFormat="1" ht="17.25" customHeight="1" x14ac:dyDescent="0.25">
      <c r="B30" s="694" t="s">
        <v>717</v>
      </c>
      <c r="C30" s="695" t="s">
        <v>716</v>
      </c>
      <c r="D30" s="696"/>
      <c r="E30" s="695" t="s">
        <v>707</v>
      </c>
      <c r="F30" s="698">
        <f>SUM(F28:F29)</f>
        <v>1839363</v>
      </c>
      <c r="G30" s="698">
        <f>SUM(G28:G29)</f>
        <v>1689587</v>
      </c>
    </row>
    <row r="31" spans="2:7" s="674" customFormat="1" ht="15.6" customHeight="1" x14ac:dyDescent="0.25">
      <c r="B31" s="700"/>
      <c r="C31" s="701"/>
      <c r="D31" s="702"/>
      <c r="E31" s="701"/>
      <c r="F31" s="703"/>
      <c r="G31" s="703"/>
    </row>
    <row r="32" spans="2:7" s="674" customFormat="1" ht="15" x14ac:dyDescent="0.2">
      <c r="B32" s="688"/>
      <c r="C32" s="689" t="s">
        <v>718</v>
      </c>
      <c r="D32" s="690"/>
      <c r="E32" s="689" t="s">
        <v>704</v>
      </c>
      <c r="F32" s="692">
        <v>0</v>
      </c>
      <c r="G32" s="692">
        <v>0</v>
      </c>
    </row>
    <row r="33" spans="2:7" s="674" customFormat="1" ht="15" x14ac:dyDescent="0.2">
      <c r="B33" s="688"/>
      <c r="C33" s="689"/>
      <c r="D33" s="690"/>
      <c r="E33" s="689" t="s">
        <v>705</v>
      </c>
      <c r="F33" s="692">
        <v>0</v>
      </c>
      <c r="G33" s="692">
        <v>0</v>
      </c>
    </row>
    <row r="34" spans="2:7" s="674" customFormat="1" ht="16.5" customHeight="1" x14ac:dyDescent="0.25">
      <c r="B34" s="694" t="s">
        <v>719</v>
      </c>
      <c r="C34" s="695" t="s">
        <v>718</v>
      </c>
      <c r="D34" s="696"/>
      <c r="E34" s="695" t="s">
        <v>707</v>
      </c>
      <c r="F34" s="698">
        <f>SUM(F32:F33)</f>
        <v>0</v>
      </c>
      <c r="G34" s="698">
        <f>SUM(G32:G33)</f>
        <v>0</v>
      </c>
    </row>
    <row r="35" spans="2:7" s="674" customFormat="1" ht="15.6" customHeight="1" x14ac:dyDescent="0.25">
      <c r="B35" s="700"/>
      <c r="C35" s="701"/>
      <c r="D35" s="702"/>
      <c r="E35" s="701"/>
      <c r="F35" s="703"/>
      <c r="G35" s="703"/>
    </row>
    <row r="36" spans="2:7" s="674" customFormat="1" ht="15" x14ac:dyDescent="0.2">
      <c r="B36" s="688"/>
      <c r="C36" s="689" t="s">
        <v>720</v>
      </c>
      <c r="D36" s="690"/>
      <c r="E36" s="689" t="s">
        <v>704</v>
      </c>
      <c r="F36" s="692">
        <v>36419</v>
      </c>
      <c r="G36" s="692">
        <v>37272</v>
      </c>
    </row>
    <row r="37" spans="2:7" s="674" customFormat="1" ht="15" x14ac:dyDescent="0.2">
      <c r="B37" s="688"/>
      <c r="C37" s="689"/>
      <c r="D37" s="690"/>
      <c r="E37" s="689" t="s">
        <v>705</v>
      </c>
      <c r="F37" s="692">
        <v>1063061</v>
      </c>
      <c r="G37" s="692">
        <v>1033710</v>
      </c>
    </row>
    <row r="38" spans="2:7" s="674" customFormat="1" ht="16.5" customHeight="1" x14ac:dyDescent="0.25">
      <c r="B38" s="694" t="s">
        <v>721</v>
      </c>
      <c r="C38" s="695" t="s">
        <v>392</v>
      </c>
      <c r="D38" s="696"/>
      <c r="E38" s="695" t="s">
        <v>707</v>
      </c>
      <c r="F38" s="698">
        <f>SUM(F36:F37)</f>
        <v>1099480</v>
      </c>
      <c r="G38" s="698">
        <f>SUM(G36:G37)</f>
        <v>1070982</v>
      </c>
    </row>
    <row r="39" spans="2:7" s="674" customFormat="1" ht="15.6" customHeight="1" x14ac:dyDescent="0.25">
      <c r="B39" s="700"/>
      <c r="C39" s="701"/>
      <c r="D39" s="702"/>
      <c r="E39" s="701"/>
      <c r="F39" s="703"/>
      <c r="G39" s="703"/>
    </row>
    <row r="40" spans="2:7" s="674" customFormat="1" ht="15" customHeight="1" x14ac:dyDescent="0.2">
      <c r="B40" s="688"/>
      <c r="C40" s="705" t="s">
        <v>722</v>
      </c>
      <c r="D40" s="690"/>
      <c r="E40" s="689" t="s">
        <v>704</v>
      </c>
      <c r="F40" s="692">
        <f>F24+F28+F36+F32</f>
        <v>8335763</v>
      </c>
      <c r="G40" s="692">
        <f>G24+G28+G36+G32</f>
        <v>8257140</v>
      </c>
    </row>
    <row r="41" spans="2:7" s="674" customFormat="1" ht="15" x14ac:dyDescent="0.2">
      <c r="B41" s="688"/>
      <c r="C41" s="689"/>
      <c r="D41" s="690"/>
      <c r="E41" s="689" t="s">
        <v>705</v>
      </c>
      <c r="F41" s="692">
        <f>F25+F29+F37+F33</f>
        <v>63457790</v>
      </c>
      <c r="G41" s="692">
        <f>G25+G29+G37+G33</f>
        <v>62178307</v>
      </c>
    </row>
    <row r="42" spans="2:7" s="674" customFormat="1" ht="16.5" customHeight="1" thickBot="1" x14ac:dyDescent="0.3">
      <c r="B42" s="706" t="s">
        <v>723</v>
      </c>
      <c r="C42" s="707" t="s">
        <v>722</v>
      </c>
      <c r="D42" s="708"/>
      <c r="E42" s="707" t="s">
        <v>707</v>
      </c>
      <c r="F42" s="710">
        <f>SUM(F40:F41)</f>
        <v>71793553</v>
      </c>
      <c r="G42" s="710">
        <f>SUM(G40:G41)</f>
        <v>70435447</v>
      </c>
    </row>
    <row r="43" spans="2:7" s="674" customFormat="1" ht="15.6" customHeight="1" x14ac:dyDescent="0.25">
      <c r="B43" s="700"/>
      <c r="C43" s="701"/>
      <c r="D43" s="702"/>
      <c r="E43" s="681"/>
      <c r="F43" s="713"/>
      <c r="G43" s="713"/>
    </row>
    <row r="44" spans="2:7" s="674" customFormat="1" ht="15" customHeight="1" x14ac:dyDescent="0.2">
      <c r="B44" s="688"/>
      <c r="C44" s="689" t="s">
        <v>724</v>
      </c>
      <c r="D44" s="690"/>
      <c r="E44" s="691" t="s">
        <v>704</v>
      </c>
      <c r="F44" s="693">
        <v>0</v>
      </c>
      <c r="G44" s="693">
        <v>0</v>
      </c>
    </row>
    <row r="45" spans="2:7" s="674" customFormat="1" ht="15" x14ac:dyDescent="0.2">
      <c r="B45" s="688"/>
      <c r="C45" s="689"/>
      <c r="D45" s="690"/>
      <c r="E45" s="691" t="s">
        <v>705</v>
      </c>
      <c r="F45" s="693">
        <v>7565460</v>
      </c>
      <c r="G45" s="693">
        <v>7525967</v>
      </c>
    </row>
    <row r="46" spans="2:7" s="674" customFormat="1" ht="16.5" customHeight="1" x14ac:dyDescent="0.25">
      <c r="B46" s="694" t="s">
        <v>725</v>
      </c>
      <c r="C46" s="695" t="s">
        <v>726</v>
      </c>
      <c r="D46" s="696"/>
      <c r="E46" s="697" t="s">
        <v>707</v>
      </c>
      <c r="F46" s="699">
        <f>SUM(F44:F45)</f>
        <v>7565460</v>
      </c>
      <c r="G46" s="699">
        <f>SUM(G44:G45)</f>
        <v>7525967</v>
      </c>
    </row>
    <row r="47" spans="2:7" s="674" customFormat="1" ht="15.6" customHeight="1" x14ac:dyDescent="0.25">
      <c r="B47" s="700"/>
      <c r="C47" s="701"/>
      <c r="D47" s="702"/>
      <c r="E47" s="681"/>
      <c r="F47" s="704"/>
      <c r="G47" s="704"/>
    </row>
    <row r="48" spans="2:7" s="674" customFormat="1" ht="15.75" customHeight="1" x14ac:dyDescent="0.2">
      <c r="B48" s="688"/>
      <c r="C48" s="689" t="s">
        <v>727</v>
      </c>
      <c r="D48" s="690"/>
      <c r="E48" s="691" t="s">
        <v>704</v>
      </c>
      <c r="F48" s="693">
        <v>0</v>
      </c>
      <c r="G48" s="693">
        <v>0</v>
      </c>
    </row>
    <row r="49" spans="2:7" s="674" customFormat="1" ht="15" x14ac:dyDescent="0.2">
      <c r="B49" s="688"/>
      <c r="C49" s="689"/>
      <c r="D49" s="690"/>
      <c r="E49" s="691" t="s">
        <v>705</v>
      </c>
      <c r="F49" s="693">
        <v>0</v>
      </c>
      <c r="G49" s="693">
        <v>0</v>
      </c>
    </row>
    <row r="50" spans="2:7" s="674" customFormat="1" ht="16.5" customHeight="1" x14ac:dyDescent="0.25">
      <c r="B50" s="694" t="s">
        <v>728</v>
      </c>
      <c r="C50" s="695" t="s">
        <v>727</v>
      </c>
      <c r="D50" s="696"/>
      <c r="E50" s="697" t="s">
        <v>707</v>
      </c>
      <c r="F50" s="698">
        <f>SUM(F49:F49)</f>
        <v>0</v>
      </c>
      <c r="G50" s="698">
        <f>SUM(G49:G49)</f>
        <v>0</v>
      </c>
    </row>
    <row r="51" spans="2:7" s="674" customFormat="1" ht="15.6" customHeight="1" x14ac:dyDescent="0.25">
      <c r="B51" s="700"/>
      <c r="C51" s="701"/>
      <c r="D51" s="702"/>
      <c r="E51" s="681"/>
      <c r="F51" s="703"/>
      <c r="G51" s="703"/>
    </row>
    <row r="52" spans="2:7" s="674" customFormat="1" ht="15.75" customHeight="1" x14ac:dyDescent="0.2">
      <c r="B52" s="688"/>
      <c r="C52" s="705" t="s">
        <v>729</v>
      </c>
      <c r="D52" s="690"/>
      <c r="E52" s="691" t="s">
        <v>704</v>
      </c>
      <c r="F52" s="692">
        <f>F44+F48</f>
        <v>0</v>
      </c>
      <c r="G52" s="692">
        <f>G44+G48</f>
        <v>0</v>
      </c>
    </row>
    <row r="53" spans="2:7" s="674" customFormat="1" ht="15.75" x14ac:dyDescent="0.25">
      <c r="B53" s="688"/>
      <c r="C53" s="701"/>
      <c r="D53" s="690"/>
      <c r="E53" s="691" t="s">
        <v>705</v>
      </c>
      <c r="F53" s="692">
        <f>F45+F49</f>
        <v>7565460</v>
      </c>
      <c r="G53" s="692">
        <f>G45+G49</f>
        <v>7525967</v>
      </c>
    </row>
    <row r="54" spans="2:7" s="674" customFormat="1" ht="16.5" customHeight="1" thickBot="1" x14ac:dyDescent="0.3">
      <c r="B54" s="706" t="s">
        <v>730</v>
      </c>
      <c r="C54" s="707" t="s">
        <v>729</v>
      </c>
      <c r="D54" s="708"/>
      <c r="E54" s="709" t="s">
        <v>707</v>
      </c>
      <c r="F54" s="710">
        <f>SUM(F52:F53)</f>
        <v>7565460</v>
      </c>
      <c r="G54" s="710">
        <f>SUM(G52:G53)</f>
        <v>7525967</v>
      </c>
    </row>
    <row r="55" spans="2:7" s="674" customFormat="1" ht="15.6" customHeight="1" x14ac:dyDescent="0.25">
      <c r="B55" s="700"/>
      <c r="C55" s="701"/>
      <c r="D55" s="702"/>
      <c r="E55" s="681"/>
      <c r="F55" s="704"/>
      <c r="G55" s="704"/>
    </row>
    <row r="56" spans="2:7" s="674" customFormat="1" ht="16.5" customHeight="1" x14ac:dyDescent="0.2">
      <c r="B56" s="688"/>
      <c r="C56" s="689" t="s">
        <v>731</v>
      </c>
      <c r="D56" s="690"/>
      <c r="E56" s="691" t="s">
        <v>704</v>
      </c>
      <c r="F56" s="693">
        <v>0</v>
      </c>
      <c r="G56" s="693">
        <v>0</v>
      </c>
    </row>
    <row r="57" spans="2:7" s="674" customFormat="1" ht="15" x14ac:dyDescent="0.2">
      <c r="B57" s="688"/>
      <c r="C57" s="689"/>
      <c r="D57" s="690"/>
      <c r="E57" s="691" t="s">
        <v>705</v>
      </c>
      <c r="F57" s="693">
        <v>0</v>
      </c>
      <c r="G57" s="693">
        <v>0</v>
      </c>
    </row>
    <row r="58" spans="2:7" s="674" customFormat="1" ht="38.25" customHeight="1" thickBot="1" x14ac:dyDescent="0.3">
      <c r="B58" s="714" t="s">
        <v>732</v>
      </c>
      <c r="C58" s="2727" t="s">
        <v>733</v>
      </c>
      <c r="D58" s="2728"/>
      <c r="E58" s="715" t="s">
        <v>707</v>
      </c>
      <c r="F58" s="716">
        <f>SUM(F56:F57)</f>
        <v>0</v>
      </c>
      <c r="G58" s="716">
        <f>SUM(G56:G57)</f>
        <v>0</v>
      </c>
    </row>
    <row r="59" spans="2:7" s="674" customFormat="1" ht="15.6" customHeight="1" x14ac:dyDescent="0.25">
      <c r="B59" s="717"/>
      <c r="C59" s="718"/>
      <c r="D59" s="719"/>
      <c r="E59" s="677"/>
      <c r="F59" s="712">
        <f>SUM(F58:F58)</f>
        <v>0</v>
      </c>
      <c r="G59" s="712">
        <f>SUM(G58:G58)</f>
        <v>0</v>
      </c>
    </row>
    <row r="60" spans="2:7" s="674" customFormat="1" ht="15" customHeight="1" x14ac:dyDescent="0.25">
      <c r="B60" s="688"/>
      <c r="C60" s="2729" t="s">
        <v>734</v>
      </c>
      <c r="D60" s="2730"/>
      <c r="E60" s="691" t="s">
        <v>704</v>
      </c>
      <c r="F60" s="692">
        <f>+F20+F40+F52+F56</f>
        <v>8381852</v>
      </c>
      <c r="G60" s="692">
        <f>+G20+G40+G52+G56</f>
        <v>8297451</v>
      </c>
    </row>
    <row r="61" spans="2:7" s="674" customFormat="1" ht="15.75" thickBot="1" x14ac:dyDescent="0.25">
      <c r="B61" s="720"/>
      <c r="C61" s="721"/>
      <c r="D61" s="722"/>
      <c r="E61" s="723" t="s">
        <v>705</v>
      </c>
      <c r="F61" s="724">
        <f>+F21+F41+F53+F57</f>
        <v>71070132</v>
      </c>
      <c r="G61" s="724">
        <f>+G21+G41+G53+G57</f>
        <v>69734473</v>
      </c>
    </row>
    <row r="62" spans="2:7" s="674" customFormat="1" ht="39.75" customHeight="1" thickBot="1" x14ac:dyDescent="0.3">
      <c r="B62" s="725" t="s">
        <v>735</v>
      </c>
      <c r="C62" s="2731" t="s">
        <v>734</v>
      </c>
      <c r="D62" s="2730"/>
      <c r="E62" s="726" t="s">
        <v>707</v>
      </c>
      <c r="F62" s="727">
        <f>SUM(F60:F61)</f>
        <v>79451984</v>
      </c>
      <c r="G62" s="727">
        <f>SUM(G60:G61)</f>
        <v>78031924</v>
      </c>
    </row>
    <row r="63" spans="2:7" s="674" customFormat="1" ht="16.5" customHeight="1" x14ac:dyDescent="0.25">
      <c r="B63" s="676"/>
      <c r="C63" s="676"/>
      <c r="D63" s="728"/>
      <c r="E63" s="677"/>
      <c r="F63" s="678"/>
      <c r="G63" s="678"/>
    </row>
    <row r="64" spans="2:7" s="674" customFormat="1" ht="15" customHeight="1" x14ac:dyDescent="0.2">
      <c r="B64" s="688"/>
      <c r="C64" s="689" t="s">
        <v>736</v>
      </c>
      <c r="D64" s="690"/>
      <c r="E64" s="691" t="s">
        <v>704</v>
      </c>
      <c r="F64" s="692">
        <v>16835</v>
      </c>
      <c r="G64" s="692">
        <v>15307</v>
      </c>
    </row>
    <row r="65" spans="2:7" s="674" customFormat="1" ht="15" x14ac:dyDescent="0.2">
      <c r="B65" s="729"/>
      <c r="C65" s="689"/>
      <c r="D65" s="690"/>
      <c r="E65" s="691" t="s">
        <v>705</v>
      </c>
      <c r="F65" s="692">
        <v>0</v>
      </c>
      <c r="G65" s="692">
        <v>0</v>
      </c>
    </row>
    <row r="66" spans="2:7" s="674" customFormat="1" ht="16.5" customHeight="1" thickBot="1" x14ac:dyDescent="0.3">
      <c r="B66" s="730" t="s">
        <v>737</v>
      </c>
      <c r="C66" s="707" t="s">
        <v>736</v>
      </c>
      <c r="D66" s="708"/>
      <c r="E66" s="709" t="s">
        <v>707</v>
      </c>
      <c r="F66" s="710">
        <f>SUM(F64:F65)</f>
        <v>16835</v>
      </c>
      <c r="G66" s="710">
        <f>SUM(G64:G65)</f>
        <v>15307</v>
      </c>
    </row>
    <row r="67" spans="2:7" s="674" customFormat="1" ht="11.1" customHeight="1" x14ac:dyDescent="0.2">
      <c r="B67" s="688"/>
      <c r="C67" s="689"/>
      <c r="D67" s="690"/>
      <c r="E67" s="691"/>
      <c r="F67" s="693"/>
      <c r="G67" s="693"/>
    </row>
    <row r="68" spans="2:7" s="674" customFormat="1" ht="15" x14ac:dyDescent="0.2">
      <c r="B68" s="688"/>
      <c r="C68" s="689" t="s">
        <v>738</v>
      </c>
      <c r="D68" s="690"/>
      <c r="E68" s="691" t="s">
        <v>704</v>
      </c>
      <c r="F68" s="693">
        <v>0</v>
      </c>
      <c r="G68" s="693">
        <v>0</v>
      </c>
    </row>
    <row r="69" spans="2:7" s="674" customFormat="1" ht="15" x14ac:dyDescent="0.2">
      <c r="B69" s="688"/>
      <c r="C69" s="689"/>
      <c r="D69" s="690"/>
      <c r="E69" s="691" t="s">
        <v>705</v>
      </c>
      <c r="F69" s="693">
        <v>0</v>
      </c>
      <c r="G69" s="693">
        <v>0</v>
      </c>
    </row>
    <row r="70" spans="2:7" s="674" customFormat="1" ht="16.5" customHeight="1" thickBot="1" x14ac:dyDescent="0.3">
      <c r="B70" s="706" t="s">
        <v>739</v>
      </c>
      <c r="C70" s="707" t="s">
        <v>740</v>
      </c>
      <c r="D70" s="708"/>
      <c r="E70" s="709" t="s">
        <v>707</v>
      </c>
      <c r="F70" s="711">
        <f>SUM(F68:F69)</f>
        <v>0</v>
      </c>
      <c r="G70" s="711">
        <f>SUM(G68:G69)</f>
        <v>0</v>
      </c>
    </row>
    <row r="71" spans="2:7" s="674" customFormat="1" ht="15.6" customHeight="1" x14ac:dyDescent="0.25">
      <c r="B71" s="700"/>
      <c r="C71" s="701"/>
      <c r="D71" s="702"/>
      <c r="E71" s="681"/>
      <c r="F71" s="704"/>
      <c r="G71" s="704"/>
    </row>
    <row r="72" spans="2:7" s="674" customFormat="1" ht="15" x14ac:dyDescent="0.2">
      <c r="B72" s="688"/>
      <c r="C72" s="689" t="s">
        <v>741</v>
      </c>
      <c r="D72" s="690"/>
      <c r="E72" s="691" t="s">
        <v>704</v>
      </c>
      <c r="F72" s="693">
        <f>+F64+F68</f>
        <v>16835</v>
      </c>
      <c r="G72" s="693">
        <f>+G64+G68</f>
        <v>15307</v>
      </c>
    </row>
    <row r="73" spans="2:7" s="674" customFormat="1" ht="15.75" thickBot="1" x14ac:dyDescent="0.25">
      <c r="B73" s="688"/>
      <c r="C73" s="689" t="s">
        <v>162</v>
      </c>
      <c r="D73" s="690"/>
      <c r="E73" s="691" t="s">
        <v>705</v>
      </c>
      <c r="F73" s="693">
        <f>+F65+F69</f>
        <v>0</v>
      </c>
      <c r="G73" s="693">
        <f>+G65+G69</f>
        <v>0</v>
      </c>
    </row>
    <row r="74" spans="2:7" s="674" customFormat="1" ht="36.75" customHeight="1" thickBot="1" x14ac:dyDescent="0.3">
      <c r="B74" s="731" t="s">
        <v>742</v>
      </c>
      <c r="C74" s="2720" t="s">
        <v>743</v>
      </c>
      <c r="D74" s="2721"/>
      <c r="E74" s="732" t="s">
        <v>707</v>
      </c>
      <c r="F74" s="733">
        <f>SUM(F72:F73)</f>
        <v>16835</v>
      </c>
      <c r="G74" s="733">
        <f>SUM(G72:G73)</f>
        <v>15307</v>
      </c>
    </row>
    <row r="75" spans="2:7" s="739" customFormat="1" ht="30" customHeight="1" x14ac:dyDescent="0.25">
      <c r="B75" s="734"/>
      <c r="C75" s="735"/>
      <c r="D75" s="736"/>
      <c r="E75" s="737"/>
      <c r="F75" s="738"/>
      <c r="G75" s="738"/>
    </row>
    <row r="76" spans="2:7" s="739" customFormat="1" ht="30" customHeight="1" thickBot="1" x14ac:dyDescent="0.3">
      <c r="B76" s="734"/>
      <c r="C76" s="735"/>
      <c r="D76" s="736"/>
      <c r="E76" s="737"/>
      <c r="F76" s="738"/>
      <c r="G76" s="738"/>
    </row>
    <row r="77" spans="2:7" s="674" customFormat="1" ht="20.25" customHeight="1" x14ac:dyDescent="0.25">
      <c r="B77" s="676"/>
      <c r="C77" s="2725" t="s">
        <v>59</v>
      </c>
      <c r="D77" s="2726"/>
      <c r="E77" s="740"/>
      <c r="F77" s="678" t="s">
        <v>700</v>
      </c>
      <c r="G77" s="678" t="s">
        <v>1300</v>
      </c>
    </row>
    <row r="78" spans="2:7" s="674" customFormat="1" ht="16.5" customHeight="1" x14ac:dyDescent="0.25">
      <c r="B78" s="679"/>
      <c r="C78" s="679"/>
      <c r="D78" s="680"/>
      <c r="E78" s="741"/>
      <c r="F78" s="682" t="s">
        <v>701</v>
      </c>
      <c r="G78" s="682" t="s">
        <v>701</v>
      </c>
    </row>
    <row r="79" spans="2:7" s="674" customFormat="1" ht="16.5" customHeight="1" thickBot="1" x14ac:dyDescent="0.3">
      <c r="B79" s="683"/>
      <c r="C79" s="683"/>
      <c r="D79" s="684"/>
      <c r="E79" s="742"/>
      <c r="F79" s="686" t="s">
        <v>702</v>
      </c>
      <c r="G79" s="686" t="s">
        <v>1301</v>
      </c>
    </row>
    <row r="80" spans="2:7" s="674" customFormat="1" ht="15.6" customHeight="1" x14ac:dyDescent="0.25">
      <c r="B80" s="700"/>
      <c r="C80" s="701"/>
      <c r="D80" s="702"/>
      <c r="E80" s="741"/>
      <c r="F80" s="704"/>
      <c r="G80" s="704"/>
    </row>
    <row r="81" spans="2:7" s="674" customFormat="1" ht="15" x14ac:dyDescent="0.2">
      <c r="B81" s="688"/>
      <c r="C81" s="689" t="s">
        <v>744</v>
      </c>
      <c r="D81" s="690"/>
      <c r="E81" s="739" t="s">
        <v>704</v>
      </c>
      <c r="F81" s="693">
        <v>0</v>
      </c>
      <c r="G81" s="693">
        <v>0</v>
      </c>
    </row>
    <row r="82" spans="2:7" s="674" customFormat="1" ht="15" x14ac:dyDescent="0.2">
      <c r="B82" s="688"/>
      <c r="C82" s="689"/>
      <c r="D82" s="690"/>
      <c r="E82" s="739" t="s">
        <v>705</v>
      </c>
      <c r="F82" s="693">
        <v>0</v>
      </c>
      <c r="G82" s="693">
        <v>0</v>
      </c>
    </row>
    <row r="83" spans="2:7" s="674" customFormat="1" ht="15.6" customHeight="1" x14ac:dyDescent="0.25">
      <c r="B83" s="694" t="s">
        <v>745</v>
      </c>
      <c r="C83" s="695" t="s">
        <v>744</v>
      </c>
      <c r="D83" s="696"/>
      <c r="E83" s="743" t="s">
        <v>707</v>
      </c>
      <c r="F83" s="699">
        <f>SUM(F81:F82)</f>
        <v>0</v>
      </c>
      <c r="G83" s="699">
        <f>SUM(G81:G82)</f>
        <v>0</v>
      </c>
    </row>
    <row r="84" spans="2:7" s="674" customFormat="1" ht="11.1" customHeight="1" x14ac:dyDescent="0.2">
      <c r="B84" s="688"/>
      <c r="C84" s="689"/>
      <c r="D84" s="690"/>
      <c r="E84" s="739"/>
      <c r="F84" s="693"/>
      <c r="G84" s="693"/>
    </row>
    <row r="85" spans="2:7" s="674" customFormat="1" ht="15" x14ac:dyDescent="0.2">
      <c r="B85" s="688"/>
      <c r="C85" s="689" t="s">
        <v>746</v>
      </c>
      <c r="D85" s="690"/>
      <c r="E85" s="739" t="s">
        <v>704</v>
      </c>
      <c r="F85" s="693">
        <v>1460</v>
      </c>
      <c r="G85" s="693">
        <v>1077</v>
      </c>
    </row>
    <row r="86" spans="2:7" s="674" customFormat="1" ht="15" x14ac:dyDescent="0.2">
      <c r="B86" s="688"/>
      <c r="C86" s="744"/>
      <c r="D86" s="690"/>
      <c r="E86" s="739" t="s">
        <v>705</v>
      </c>
      <c r="F86" s="693">
        <v>74</v>
      </c>
      <c r="G86" s="693">
        <v>64</v>
      </c>
    </row>
    <row r="87" spans="2:7" s="674" customFormat="1" ht="15.6" customHeight="1" x14ac:dyDescent="0.25">
      <c r="B87" s="694" t="s">
        <v>747</v>
      </c>
      <c r="C87" s="745" t="s">
        <v>746</v>
      </c>
      <c r="D87" s="696"/>
      <c r="E87" s="743" t="s">
        <v>707</v>
      </c>
      <c r="F87" s="699">
        <f>SUM(F85:F86)</f>
        <v>1534</v>
      </c>
      <c r="G87" s="699">
        <f>SUM(G85:G86)</f>
        <v>1141</v>
      </c>
    </row>
    <row r="88" spans="2:7" s="674" customFormat="1" ht="11.1" customHeight="1" x14ac:dyDescent="0.2">
      <c r="B88" s="688"/>
      <c r="C88" s="689"/>
      <c r="D88" s="690"/>
      <c r="E88" s="739"/>
      <c r="F88" s="693"/>
      <c r="G88" s="693"/>
    </row>
    <row r="89" spans="2:7" s="674" customFormat="1" ht="15" x14ac:dyDescent="0.2">
      <c r="B89" s="688"/>
      <c r="C89" s="689" t="s">
        <v>748</v>
      </c>
      <c r="D89" s="690"/>
      <c r="E89" s="739" t="s">
        <v>704</v>
      </c>
      <c r="F89" s="693">
        <v>170054</v>
      </c>
      <c r="G89" s="693">
        <f>140928-1</f>
        <v>140927</v>
      </c>
    </row>
    <row r="90" spans="2:7" s="674" customFormat="1" ht="15" x14ac:dyDescent="0.2">
      <c r="B90" s="688"/>
      <c r="C90" s="689"/>
      <c r="D90" s="690"/>
      <c r="E90" s="739" t="s">
        <v>705</v>
      </c>
      <c r="F90" s="693">
        <v>2243609</v>
      </c>
      <c r="G90" s="693">
        <v>11604749</v>
      </c>
    </row>
    <row r="91" spans="2:7" s="674" customFormat="1" ht="15.6" customHeight="1" x14ac:dyDescent="0.25">
      <c r="B91" s="694" t="s">
        <v>749</v>
      </c>
      <c r="C91" s="745" t="s">
        <v>748</v>
      </c>
      <c r="D91" s="696"/>
      <c r="E91" s="743" t="s">
        <v>707</v>
      </c>
      <c r="F91" s="699">
        <f>SUM(F89:F90)</f>
        <v>2413663</v>
      </c>
      <c r="G91" s="699">
        <f>SUM(G89:G90)</f>
        <v>11745676</v>
      </c>
    </row>
    <row r="92" spans="2:7" s="674" customFormat="1" ht="11.1" customHeight="1" x14ac:dyDescent="0.2">
      <c r="B92" s="688"/>
      <c r="C92" s="689"/>
      <c r="D92" s="690"/>
      <c r="E92" s="739"/>
      <c r="F92" s="693"/>
      <c r="G92" s="693"/>
    </row>
    <row r="93" spans="2:7" s="674" customFormat="1" ht="15" x14ac:dyDescent="0.2">
      <c r="B93" s="688"/>
      <c r="C93" s="689" t="s">
        <v>750</v>
      </c>
      <c r="D93" s="690"/>
      <c r="E93" s="739" t="s">
        <v>704</v>
      </c>
      <c r="F93" s="693">
        <v>0</v>
      </c>
      <c r="G93" s="693">
        <v>0</v>
      </c>
    </row>
    <row r="94" spans="2:7" s="674" customFormat="1" ht="15" x14ac:dyDescent="0.2">
      <c r="B94" s="688"/>
      <c r="C94" s="689"/>
      <c r="D94" s="690"/>
      <c r="E94" s="739" t="s">
        <v>705</v>
      </c>
      <c r="F94" s="693">
        <v>0</v>
      </c>
      <c r="G94" s="693">
        <v>0</v>
      </c>
    </row>
    <row r="95" spans="2:7" s="674" customFormat="1" ht="15.6" customHeight="1" x14ac:dyDescent="0.25">
      <c r="B95" s="694" t="s">
        <v>751</v>
      </c>
      <c r="C95" s="745" t="s">
        <v>750</v>
      </c>
      <c r="D95" s="696"/>
      <c r="E95" s="743" t="s">
        <v>707</v>
      </c>
      <c r="F95" s="699">
        <f>SUM(F93:F94)</f>
        <v>0</v>
      </c>
      <c r="G95" s="699">
        <f>SUM(G93:G94)</f>
        <v>0</v>
      </c>
    </row>
    <row r="96" spans="2:7" s="674" customFormat="1" ht="11.1" customHeight="1" x14ac:dyDescent="0.2">
      <c r="B96" s="688"/>
      <c r="C96" s="689"/>
      <c r="D96" s="690"/>
      <c r="E96" s="739"/>
      <c r="F96" s="693"/>
      <c r="G96" s="693"/>
    </row>
    <row r="97" spans="2:7" s="674" customFormat="1" ht="11.1" customHeight="1" x14ac:dyDescent="0.2">
      <c r="B97" s="688"/>
      <c r="C97" s="689"/>
      <c r="D97" s="690"/>
      <c r="E97" s="739"/>
      <c r="F97" s="693"/>
      <c r="G97" s="693"/>
    </row>
    <row r="98" spans="2:7" s="674" customFormat="1" ht="15" x14ac:dyDescent="0.2">
      <c r="B98" s="688"/>
      <c r="C98" s="689" t="s">
        <v>752</v>
      </c>
      <c r="D98" s="690"/>
      <c r="E98" s="739" t="s">
        <v>704</v>
      </c>
      <c r="F98" s="693">
        <f>+F81+F85+F89+F93</f>
        <v>171514</v>
      </c>
      <c r="G98" s="693">
        <f>+G81+G85+G89+G93</f>
        <v>142004</v>
      </c>
    </row>
    <row r="99" spans="2:7" s="674" customFormat="1" ht="15.75" thickBot="1" x14ac:dyDescent="0.25">
      <c r="B99" s="688"/>
      <c r="C99" s="689"/>
      <c r="D99" s="690"/>
      <c r="E99" s="739" t="s">
        <v>705</v>
      </c>
      <c r="F99" s="693">
        <f>F82+F86+F90+F94</f>
        <v>2243683</v>
      </c>
      <c r="G99" s="693">
        <f>G82+G86+G90+G94</f>
        <v>11604813</v>
      </c>
    </row>
    <row r="100" spans="2:7" s="674" customFormat="1" ht="30" customHeight="1" thickBot="1" x14ac:dyDescent="0.3">
      <c r="B100" s="731" t="s">
        <v>753</v>
      </c>
      <c r="C100" s="2720" t="s">
        <v>752</v>
      </c>
      <c r="D100" s="2721"/>
      <c r="E100" s="746" t="s">
        <v>707</v>
      </c>
      <c r="F100" s="733">
        <f>SUM(F98:F99)</f>
        <v>2415197</v>
      </c>
      <c r="G100" s="733">
        <f>SUM(G98:G99)</f>
        <v>11746817</v>
      </c>
    </row>
    <row r="101" spans="2:7" s="674" customFormat="1" ht="15.6" customHeight="1" x14ac:dyDescent="0.25">
      <c r="B101" s="700"/>
      <c r="C101" s="701"/>
      <c r="D101" s="702"/>
      <c r="E101" s="741"/>
      <c r="F101" s="704"/>
      <c r="G101" s="704"/>
    </row>
    <row r="102" spans="2:7" s="674" customFormat="1" ht="15" x14ac:dyDescent="0.2">
      <c r="B102" s="688"/>
      <c r="C102" s="689" t="s">
        <v>754</v>
      </c>
      <c r="D102" s="690"/>
      <c r="E102" s="739" t="s">
        <v>704</v>
      </c>
      <c r="F102" s="693">
        <v>47561</v>
      </c>
      <c r="G102" s="693">
        <v>20390</v>
      </c>
    </row>
    <row r="103" spans="2:7" s="674" customFormat="1" ht="15" x14ac:dyDescent="0.2">
      <c r="B103" s="688"/>
      <c r="C103" s="689"/>
      <c r="D103" s="690"/>
      <c r="E103" s="739" t="s">
        <v>705</v>
      </c>
      <c r="F103" s="693">
        <v>841963</v>
      </c>
      <c r="G103" s="693">
        <v>1126420</v>
      </c>
    </row>
    <row r="104" spans="2:7" s="674" customFormat="1" ht="15.6" customHeight="1" x14ac:dyDescent="0.25">
      <c r="B104" s="694" t="s">
        <v>755</v>
      </c>
      <c r="C104" s="745" t="s">
        <v>754</v>
      </c>
      <c r="D104" s="696"/>
      <c r="E104" s="743" t="s">
        <v>707</v>
      </c>
      <c r="F104" s="699">
        <f>SUM(F102:F103)</f>
        <v>889524</v>
      </c>
      <c r="G104" s="699">
        <f>SUM(G102:G103)</f>
        <v>1146810</v>
      </c>
    </row>
    <row r="105" spans="2:7" s="674" customFormat="1" ht="12" customHeight="1" x14ac:dyDescent="0.2">
      <c r="B105" s="688"/>
      <c r="C105" s="689"/>
      <c r="D105" s="690"/>
      <c r="E105" s="739"/>
      <c r="F105" s="693"/>
      <c r="G105" s="693"/>
    </row>
    <row r="106" spans="2:7" s="674" customFormat="1" ht="15" x14ac:dyDescent="0.2">
      <c r="B106" s="688"/>
      <c r="C106" s="689" t="s">
        <v>756</v>
      </c>
      <c r="D106" s="690"/>
      <c r="E106" s="739" t="s">
        <v>704</v>
      </c>
      <c r="F106" s="693">
        <v>62150</v>
      </c>
      <c r="G106" s="693">
        <v>2077</v>
      </c>
    </row>
    <row r="107" spans="2:7" s="674" customFormat="1" ht="15" x14ac:dyDescent="0.2">
      <c r="B107" s="688"/>
      <c r="C107" s="744"/>
      <c r="D107" s="690"/>
      <c r="E107" s="739" t="s">
        <v>705</v>
      </c>
      <c r="F107" s="693">
        <v>99004</v>
      </c>
      <c r="G107" s="693">
        <v>155473</v>
      </c>
    </row>
    <row r="108" spans="2:7" s="674" customFormat="1" ht="36.75" customHeight="1" x14ac:dyDescent="0.25">
      <c r="B108" s="694" t="s">
        <v>757</v>
      </c>
      <c r="C108" s="2732" t="s">
        <v>756</v>
      </c>
      <c r="D108" s="2733"/>
      <c r="E108" s="743" t="s">
        <v>707</v>
      </c>
      <c r="F108" s="699">
        <f>SUM(F106:F107)</f>
        <v>161154</v>
      </c>
      <c r="G108" s="699">
        <f>SUM(G106:G107)</f>
        <v>157550</v>
      </c>
    </row>
    <row r="109" spans="2:7" s="674" customFormat="1" ht="12" customHeight="1" x14ac:dyDescent="0.2">
      <c r="B109" s="688"/>
      <c r="C109" s="689"/>
      <c r="D109" s="690"/>
      <c r="E109" s="739"/>
      <c r="F109" s="693"/>
      <c r="G109" s="693"/>
    </row>
    <row r="110" spans="2:7" s="674" customFormat="1" ht="15" x14ac:dyDescent="0.2">
      <c r="B110" s="688"/>
      <c r="C110" s="689" t="s">
        <v>758</v>
      </c>
      <c r="D110" s="690"/>
      <c r="E110" s="739" t="s">
        <v>704</v>
      </c>
      <c r="F110" s="693">
        <v>26967</v>
      </c>
      <c r="G110" s="693">
        <v>17390</v>
      </c>
    </row>
    <row r="111" spans="2:7" s="674" customFormat="1" ht="15" x14ac:dyDescent="0.2">
      <c r="B111" s="688"/>
      <c r="C111" s="689"/>
      <c r="D111" s="690"/>
      <c r="E111" s="739" t="s">
        <v>705</v>
      </c>
      <c r="F111" s="693">
        <v>2500</v>
      </c>
      <c r="G111" s="693">
        <v>5715</v>
      </c>
    </row>
    <row r="112" spans="2:7" s="674" customFormat="1" ht="15.6" customHeight="1" x14ac:dyDescent="0.25">
      <c r="B112" s="694" t="s">
        <v>759</v>
      </c>
      <c r="C112" s="745" t="s">
        <v>758</v>
      </c>
      <c r="D112" s="696"/>
      <c r="E112" s="743" t="s">
        <v>707</v>
      </c>
      <c r="F112" s="699">
        <f>SUM(F110:F111)</f>
        <v>29467</v>
      </c>
      <c r="G112" s="699">
        <f>SUM(G110:G111)</f>
        <v>23105</v>
      </c>
    </row>
    <row r="113" spans="2:7" s="674" customFormat="1" ht="12" customHeight="1" x14ac:dyDescent="0.25">
      <c r="B113" s="700"/>
      <c r="C113" s="747"/>
      <c r="D113" s="702"/>
      <c r="E113" s="741"/>
      <c r="F113" s="704"/>
      <c r="G113" s="704"/>
    </row>
    <row r="114" spans="2:7" s="674" customFormat="1" ht="15" x14ac:dyDescent="0.2">
      <c r="B114" s="688"/>
      <c r="C114" s="689" t="s">
        <v>760</v>
      </c>
      <c r="D114" s="690"/>
      <c r="E114" s="739" t="s">
        <v>704</v>
      </c>
      <c r="F114" s="693">
        <f>+F102+F106+F110</f>
        <v>136678</v>
      </c>
      <c r="G114" s="693">
        <f>+G102+G106+G110</f>
        <v>39857</v>
      </c>
    </row>
    <row r="115" spans="2:7" s="674" customFormat="1" ht="15.75" thickBot="1" x14ac:dyDescent="0.25">
      <c r="B115" s="688"/>
      <c r="C115" s="689"/>
      <c r="D115" s="690"/>
      <c r="E115" s="739" t="s">
        <v>705</v>
      </c>
      <c r="F115" s="693">
        <f>+F103+F107+F111</f>
        <v>943467</v>
      </c>
      <c r="G115" s="693">
        <f>+G103+G107+G111</f>
        <v>1287608</v>
      </c>
    </row>
    <row r="116" spans="2:7" s="674" customFormat="1" ht="30" customHeight="1" thickBot="1" x14ac:dyDescent="0.3">
      <c r="B116" s="731" t="s">
        <v>761</v>
      </c>
      <c r="C116" s="2720" t="s">
        <v>760</v>
      </c>
      <c r="D116" s="2721"/>
      <c r="E116" s="746" t="s">
        <v>707</v>
      </c>
      <c r="F116" s="733">
        <f>SUM(F114:F115)</f>
        <v>1080145</v>
      </c>
      <c r="G116" s="733">
        <f>SUM(G114:G115)</f>
        <v>1327465</v>
      </c>
    </row>
    <row r="117" spans="2:7" s="674" customFormat="1" ht="12" customHeight="1" x14ac:dyDescent="0.25">
      <c r="B117" s="725"/>
      <c r="C117" s="748"/>
      <c r="D117" s="749"/>
      <c r="E117" s="737"/>
      <c r="F117" s="727"/>
      <c r="G117" s="727"/>
    </row>
    <row r="118" spans="2:7" s="674" customFormat="1" ht="15" x14ac:dyDescent="0.2">
      <c r="B118" s="688"/>
      <c r="C118" s="689" t="s">
        <v>762</v>
      </c>
      <c r="D118" s="690"/>
      <c r="E118" s="739" t="s">
        <v>704</v>
      </c>
      <c r="F118" s="693">
        <v>20426</v>
      </c>
      <c r="G118" s="693">
        <v>56169</v>
      </c>
    </row>
    <row r="119" spans="2:7" s="674" customFormat="1" ht="15.75" thickBot="1" x14ac:dyDescent="0.25">
      <c r="B119" s="688"/>
      <c r="C119" s="689"/>
      <c r="D119" s="690"/>
      <c r="E119" s="739" t="s">
        <v>705</v>
      </c>
      <c r="F119" s="693">
        <v>212292</v>
      </c>
      <c r="G119" s="693">
        <v>-1139</v>
      </c>
    </row>
    <row r="120" spans="2:7" s="674" customFormat="1" ht="30" customHeight="1" thickBot="1" x14ac:dyDescent="0.3">
      <c r="B120" s="731" t="s">
        <v>763</v>
      </c>
      <c r="C120" s="2720" t="s">
        <v>762</v>
      </c>
      <c r="D120" s="2721"/>
      <c r="E120" s="746" t="s">
        <v>707</v>
      </c>
      <c r="F120" s="733">
        <f>SUM(F118:F119)</f>
        <v>232718</v>
      </c>
      <c r="G120" s="733">
        <f>SUM(G118:G119)</f>
        <v>55030</v>
      </c>
    </row>
    <row r="121" spans="2:7" s="674" customFormat="1" ht="15.6" customHeight="1" x14ac:dyDescent="0.25">
      <c r="B121" s="700"/>
      <c r="C121" s="701"/>
      <c r="D121" s="702"/>
      <c r="E121" s="741"/>
      <c r="F121" s="704"/>
      <c r="G121" s="704"/>
    </row>
    <row r="122" spans="2:7" s="674" customFormat="1" ht="19.5" customHeight="1" x14ac:dyDescent="0.2">
      <c r="B122" s="688"/>
      <c r="C122" s="2729" t="s">
        <v>764</v>
      </c>
      <c r="D122" s="2734"/>
      <c r="E122" s="739" t="s">
        <v>704</v>
      </c>
      <c r="F122" s="693">
        <v>11034</v>
      </c>
      <c r="G122" s="693">
        <v>17570</v>
      </c>
    </row>
    <row r="123" spans="2:7" s="674" customFormat="1" ht="15" x14ac:dyDescent="0.2">
      <c r="B123" s="688"/>
      <c r="C123" s="689" t="s">
        <v>765</v>
      </c>
      <c r="D123" s="690"/>
      <c r="E123" s="739" t="s">
        <v>705</v>
      </c>
      <c r="F123" s="693">
        <v>353978</v>
      </c>
      <c r="G123" s="693">
        <v>363141</v>
      </c>
    </row>
    <row r="124" spans="2:7" s="674" customFormat="1" ht="31.5" customHeight="1" x14ac:dyDescent="0.25">
      <c r="B124" s="694" t="s">
        <v>766</v>
      </c>
      <c r="C124" s="2732" t="s">
        <v>767</v>
      </c>
      <c r="D124" s="2735"/>
      <c r="E124" s="743" t="s">
        <v>707</v>
      </c>
      <c r="F124" s="699">
        <f>SUM(F122:F123)</f>
        <v>365012</v>
      </c>
      <c r="G124" s="699">
        <f>SUM(G122:G123)</f>
        <v>380711</v>
      </c>
    </row>
    <row r="125" spans="2:7" s="674" customFormat="1" ht="11.1" customHeight="1" x14ac:dyDescent="0.2">
      <c r="B125" s="688"/>
      <c r="C125" s="689"/>
      <c r="D125" s="690"/>
      <c r="E125" s="739"/>
      <c r="F125" s="693"/>
      <c r="G125" s="693"/>
    </row>
    <row r="126" spans="2:7" s="674" customFormat="1" ht="15" x14ac:dyDescent="0.2">
      <c r="B126" s="688"/>
      <c r="C126" s="689" t="s">
        <v>768</v>
      </c>
      <c r="D126" s="690"/>
      <c r="E126" s="739" t="s">
        <v>704</v>
      </c>
      <c r="F126" s="693">
        <v>2518</v>
      </c>
      <c r="G126" s="693">
        <v>3191</v>
      </c>
    </row>
    <row r="127" spans="2:7" s="674" customFormat="1" ht="15" x14ac:dyDescent="0.2">
      <c r="B127" s="688"/>
      <c r="C127" s="744"/>
      <c r="D127" s="690"/>
      <c r="E127" s="739" t="s">
        <v>705</v>
      </c>
      <c r="F127" s="693">
        <v>5093</v>
      </c>
      <c r="G127" s="693">
        <v>18976</v>
      </c>
    </row>
    <row r="128" spans="2:7" s="674" customFormat="1" ht="34.5" customHeight="1" x14ac:dyDescent="0.25">
      <c r="B128" s="694" t="s">
        <v>769</v>
      </c>
      <c r="C128" s="2732" t="s">
        <v>768</v>
      </c>
      <c r="D128" s="2736"/>
      <c r="E128" s="743" t="s">
        <v>707</v>
      </c>
      <c r="F128" s="699">
        <f>SUM(F126:F127)</f>
        <v>7611</v>
      </c>
      <c r="G128" s="699">
        <f>SUM(G126:G127)</f>
        <v>22167</v>
      </c>
    </row>
    <row r="129" spans="2:7" s="674" customFormat="1" ht="11.1" customHeight="1" x14ac:dyDescent="0.2">
      <c r="B129" s="688"/>
      <c r="C129" s="689"/>
      <c r="D129" s="690"/>
      <c r="E129" s="739"/>
      <c r="F129" s="693"/>
      <c r="G129" s="693"/>
    </row>
    <row r="130" spans="2:7" s="674" customFormat="1" ht="15" x14ac:dyDescent="0.2">
      <c r="B130" s="688"/>
      <c r="C130" s="689" t="s">
        <v>770</v>
      </c>
      <c r="D130" s="690"/>
      <c r="E130" s="739" t="s">
        <v>704</v>
      </c>
      <c r="F130" s="693">
        <v>0</v>
      </c>
      <c r="G130" s="693">
        <v>0</v>
      </c>
    </row>
    <row r="131" spans="2:7" s="674" customFormat="1" ht="15" x14ac:dyDescent="0.2">
      <c r="B131" s="688"/>
      <c r="C131" s="689"/>
      <c r="D131" s="690"/>
      <c r="E131" s="739" t="s">
        <v>705</v>
      </c>
      <c r="F131" s="693">
        <v>0</v>
      </c>
      <c r="G131" s="693">
        <v>0</v>
      </c>
    </row>
    <row r="132" spans="2:7" s="674" customFormat="1" ht="15.6" customHeight="1" x14ac:dyDescent="0.25">
      <c r="B132" s="694" t="s">
        <v>771</v>
      </c>
      <c r="C132" s="745" t="s">
        <v>770</v>
      </c>
      <c r="D132" s="696"/>
      <c r="E132" s="743" t="s">
        <v>707</v>
      </c>
      <c r="F132" s="699">
        <f>SUM(F130:F131)</f>
        <v>0</v>
      </c>
      <c r="G132" s="699">
        <f>SUM(G130:G131)</f>
        <v>0</v>
      </c>
    </row>
    <row r="133" spans="2:7" s="674" customFormat="1" ht="15" x14ac:dyDescent="0.2">
      <c r="B133" s="688"/>
      <c r="C133" s="689"/>
      <c r="D133" s="690"/>
      <c r="E133" s="739"/>
      <c r="F133" s="693"/>
      <c r="G133" s="693"/>
    </row>
    <row r="134" spans="2:7" s="674" customFormat="1" ht="15" x14ac:dyDescent="0.2">
      <c r="B134" s="688"/>
      <c r="C134" s="689" t="s">
        <v>772</v>
      </c>
      <c r="D134" s="690"/>
      <c r="E134" s="739" t="s">
        <v>704</v>
      </c>
      <c r="F134" s="693">
        <f>+F122+F126+F130</f>
        <v>13552</v>
      </c>
      <c r="G134" s="693">
        <f>+G122+G126+G130</f>
        <v>20761</v>
      </c>
    </row>
    <row r="135" spans="2:7" s="674" customFormat="1" ht="15.75" thickBot="1" x14ac:dyDescent="0.25">
      <c r="B135" s="688"/>
      <c r="C135" s="689"/>
      <c r="D135" s="690"/>
      <c r="E135" s="739" t="s">
        <v>705</v>
      </c>
      <c r="F135" s="693">
        <f>+F123+F127+F131</f>
        <v>359071</v>
      </c>
      <c r="G135" s="693">
        <f>+G123+G127+G131</f>
        <v>382117</v>
      </c>
    </row>
    <row r="136" spans="2:7" s="674" customFormat="1" ht="30" customHeight="1" thickBot="1" x14ac:dyDescent="0.3">
      <c r="B136" s="731" t="s">
        <v>773</v>
      </c>
      <c r="C136" s="2720" t="s">
        <v>772</v>
      </c>
      <c r="D136" s="2721"/>
      <c r="E136" s="746" t="s">
        <v>707</v>
      </c>
      <c r="F136" s="733">
        <f>SUM(F134:F135)</f>
        <v>372623</v>
      </c>
      <c r="G136" s="733">
        <f>SUM(G134:G135)</f>
        <v>402878</v>
      </c>
    </row>
    <row r="137" spans="2:7" s="674" customFormat="1" ht="15" x14ac:dyDescent="0.2">
      <c r="B137" s="688"/>
      <c r="C137" s="689"/>
      <c r="D137" s="690"/>
      <c r="E137" s="739"/>
      <c r="F137" s="693"/>
      <c r="G137" s="693"/>
    </row>
    <row r="138" spans="2:7" s="674" customFormat="1" ht="15.75" x14ac:dyDescent="0.25">
      <c r="B138" s="688"/>
      <c r="C138" s="701" t="s">
        <v>699</v>
      </c>
      <c r="D138" s="690"/>
      <c r="E138" s="739" t="s">
        <v>704</v>
      </c>
      <c r="F138" s="693">
        <f>+F60+F72+F98+F114+F118+F134</f>
        <v>8740857</v>
      </c>
      <c r="G138" s="693">
        <f>+G60+G72+G98+G114+G118+G134</f>
        <v>8571549</v>
      </c>
    </row>
    <row r="139" spans="2:7" s="674" customFormat="1" ht="15.75" thickBot="1" x14ac:dyDescent="0.25">
      <c r="B139" s="688"/>
      <c r="C139" s="689"/>
      <c r="D139" s="690"/>
      <c r="E139" s="739" t="s">
        <v>705</v>
      </c>
      <c r="F139" s="693">
        <f>+F61+F73+F99+F115+F119+F135</f>
        <v>74828645</v>
      </c>
      <c r="G139" s="693">
        <f>+G61+G73+G99+G115+G119+G135</f>
        <v>83007872</v>
      </c>
    </row>
    <row r="140" spans="2:7" s="674" customFormat="1" ht="30" customHeight="1" thickBot="1" x14ac:dyDescent="0.3">
      <c r="B140" s="731"/>
      <c r="C140" s="2720" t="s">
        <v>774</v>
      </c>
      <c r="D140" s="2721"/>
      <c r="E140" s="746" t="s">
        <v>707</v>
      </c>
      <c r="F140" s="733">
        <f>SUM(F138:F139)</f>
        <v>83569502</v>
      </c>
      <c r="G140" s="733">
        <f>SUM(G138:G139)</f>
        <v>91579421</v>
      </c>
    </row>
  </sheetData>
  <mergeCells count="17">
    <mergeCell ref="C122:D122"/>
    <mergeCell ref="C124:D124"/>
    <mergeCell ref="C128:D128"/>
    <mergeCell ref="C136:D136"/>
    <mergeCell ref="C140:D140"/>
    <mergeCell ref="C120:D120"/>
    <mergeCell ref="B4:G4"/>
    <mergeCell ref="B6:G6"/>
    <mergeCell ref="C8:D8"/>
    <mergeCell ref="C58:D58"/>
    <mergeCell ref="C60:D60"/>
    <mergeCell ref="C62:D62"/>
    <mergeCell ref="C74:D74"/>
    <mergeCell ref="C77:D77"/>
    <mergeCell ref="C100:D100"/>
    <mergeCell ref="C108:D108"/>
    <mergeCell ref="C116:D116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verticalDpi="300" r:id="rId1"/>
  <headerFooter alignWithMargins="0">
    <oddHeader xml:space="preserve">&amp;R&amp;"Arial CE,Félkövér"&amp;14  23. melléklet </oddHeader>
  </headerFooter>
  <rowBreaks count="1" manualBreakCount="1">
    <brk id="75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"/>
  <sheetViews>
    <sheetView zoomScale="85" zoomScaleNormal="85" zoomScaleSheetLayoutView="75" workbookViewId="0">
      <selection activeCell="B1" sqref="B1:E1"/>
    </sheetView>
  </sheetViews>
  <sheetFormatPr defaultColWidth="10.6640625" defaultRowHeight="14.25" x14ac:dyDescent="0.2"/>
  <cols>
    <col min="1" max="1" width="10.6640625" style="751"/>
    <col min="2" max="2" width="7.6640625" style="752" customWidth="1"/>
    <col min="3" max="3" width="10.6640625" style="751" customWidth="1"/>
    <col min="4" max="4" width="69.83203125" style="751" customWidth="1"/>
    <col min="5" max="5" width="30.33203125" style="751" customWidth="1"/>
    <col min="6" max="7" width="21.5" style="751" customWidth="1"/>
    <col min="8" max="16384" width="10.6640625" style="751"/>
  </cols>
  <sheetData>
    <row r="1" spans="2:9" ht="15.75" x14ac:dyDescent="0.25">
      <c r="F1" s="2515"/>
      <c r="G1" s="2515"/>
      <c r="H1" s="2515"/>
      <c r="I1" s="2515"/>
    </row>
    <row r="2" spans="2:9" ht="15.75" x14ac:dyDescent="0.25">
      <c r="F2" s="2515"/>
      <c r="G2" s="2515"/>
      <c r="H2" s="2515"/>
      <c r="I2" s="2515"/>
    </row>
    <row r="3" spans="2:9" ht="17.25" customHeight="1" x14ac:dyDescent="0.25">
      <c r="B3" s="2741" t="s">
        <v>1302</v>
      </c>
      <c r="C3" s="2741"/>
      <c r="D3" s="2741"/>
      <c r="E3" s="2741"/>
      <c r="F3" s="2741"/>
      <c r="G3" s="2741"/>
    </row>
    <row r="4" spans="2:9" ht="14.25" customHeight="1" x14ac:dyDescent="0.2"/>
    <row r="5" spans="2:9" ht="20.25" customHeight="1" x14ac:dyDescent="0.25">
      <c r="B5" s="2742" t="s">
        <v>775</v>
      </c>
      <c r="C5" s="2742"/>
      <c r="D5" s="2742"/>
      <c r="E5" s="2742"/>
      <c r="F5" s="2742"/>
      <c r="G5" s="2742"/>
    </row>
    <row r="6" spans="2:9" ht="15.75" thickBot="1" x14ac:dyDescent="0.3">
      <c r="B6" s="753"/>
      <c r="C6" s="753"/>
      <c r="D6" s="753"/>
      <c r="E6" s="753"/>
      <c r="F6" s="754" t="s">
        <v>38</v>
      </c>
      <c r="G6" s="754" t="s">
        <v>38</v>
      </c>
    </row>
    <row r="7" spans="2:9" ht="20.25" customHeight="1" x14ac:dyDescent="0.25">
      <c r="B7" s="755"/>
      <c r="C7" s="2743" t="s">
        <v>59</v>
      </c>
      <c r="D7" s="2744"/>
      <c r="E7" s="756"/>
      <c r="F7" s="757" t="s">
        <v>700</v>
      </c>
      <c r="G7" s="757" t="s">
        <v>1300</v>
      </c>
    </row>
    <row r="8" spans="2:9" ht="19.5" customHeight="1" x14ac:dyDescent="0.25">
      <c r="B8" s="758"/>
      <c r="C8" s="758"/>
      <c r="D8" s="759"/>
      <c r="E8" s="760"/>
      <c r="F8" s="761" t="s">
        <v>701</v>
      </c>
      <c r="G8" s="761" t="s">
        <v>701</v>
      </c>
    </row>
    <row r="9" spans="2:9" ht="16.5" customHeight="1" thickBot="1" x14ac:dyDescent="0.3">
      <c r="B9" s="762"/>
      <c r="C9" s="762"/>
      <c r="D9" s="763"/>
      <c r="E9" s="764"/>
      <c r="F9" s="765" t="s">
        <v>702</v>
      </c>
      <c r="G9" s="765" t="s">
        <v>1301</v>
      </c>
    </row>
    <row r="10" spans="2:9" ht="20.25" customHeight="1" x14ac:dyDescent="0.25">
      <c r="B10" s="766"/>
      <c r="C10" s="767"/>
      <c r="D10" s="768"/>
      <c r="E10" s="760"/>
      <c r="F10" s="769"/>
      <c r="G10" s="769"/>
    </row>
    <row r="11" spans="2:9" x14ac:dyDescent="0.2">
      <c r="B11" s="770"/>
      <c r="C11" s="771" t="s">
        <v>776</v>
      </c>
      <c r="D11" s="772"/>
      <c r="E11" s="773" t="s">
        <v>704</v>
      </c>
      <c r="F11" s="774">
        <v>11929474</v>
      </c>
      <c r="G11" s="774">
        <v>11929473</v>
      </c>
    </row>
    <row r="12" spans="2:9" x14ac:dyDescent="0.2">
      <c r="B12" s="770"/>
      <c r="C12" s="771"/>
      <c r="D12" s="772"/>
      <c r="E12" s="773" t="s">
        <v>705</v>
      </c>
      <c r="F12" s="774">
        <v>86560777</v>
      </c>
      <c r="G12" s="774">
        <v>86560778</v>
      </c>
    </row>
    <row r="13" spans="2:9" ht="19.5" customHeight="1" x14ac:dyDescent="0.25">
      <c r="B13" s="775" t="s">
        <v>777</v>
      </c>
      <c r="C13" s="776" t="s">
        <v>776</v>
      </c>
      <c r="D13" s="777"/>
      <c r="E13" s="778" t="s">
        <v>707</v>
      </c>
      <c r="F13" s="779">
        <f>SUM(F11:F12)</f>
        <v>98490251</v>
      </c>
      <c r="G13" s="779">
        <f>SUM(G11:G12)</f>
        <v>98490251</v>
      </c>
    </row>
    <row r="14" spans="2:9" ht="15.75" customHeight="1" x14ac:dyDescent="0.2">
      <c r="B14" s="770"/>
      <c r="C14" s="771"/>
      <c r="D14" s="772"/>
      <c r="E14" s="773"/>
      <c r="F14" s="774"/>
      <c r="G14" s="774"/>
    </row>
    <row r="15" spans="2:9" x14ac:dyDescent="0.2">
      <c r="B15" s="770"/>
      <c r="C15" s="771" t="s">
        <v>778</v>
      </c>
      <c r="D15" s="772"/>
      <c r="E15" s="773" t="s">
        <v>704</v>
      </c>
      <c r="F15" s="774">
        <v>0</v>
      </c>
      <c r="G15" s="774">
        <v>0</v>
      </c>
    </row>
    <row r="16" spans="2:9" x14ac:dyDescent="0.2">
      <c r="B16" s="770"/>
      <c r="C16" s="780"/>
      <c r="D16" s="772"/>
      <c r="E16" s="773" t="s">
        <v>705</v>
      </c>
      <c r="F16" s="774">
        <v>70544</v>
      </c>
      <c r="G16" s="774">
        <v>-14728</v>
      </c>
    </row>
    <row r="17" spans="2:7" ht="20.25" customHeight="1" x14ac:dyDescent="0.25">
      <c r="B17" s="775" t="s">
        <v>779</v>
      </c>
      <c r="C17" s="776" t="s">
        <v>778</v>
      </c>
      <c r="D17" s="777"/>
      <c r="E17" s="778" t="s">
        <v>707</v>
      </c>
      <c r="F17" s="779">
        <f>SUM(F15:F16)</f>
        <v>70544</v>
      </c>
      <c r="G17" s="779">
        <f>SUM(G15:G16)</f>
        <v>-14728</v>
      </c>
    </row>
    <row r="18" spans="2:7" x14ac:dyDescent="0.2">
      <c r="B18" s="770"/>
      <c r="C18" s="771"/>
      <c r="D18" s="772"/>
      <c r="E18" s="773"/>
      <c r="F18" s="774"/>
      <c r="G18" s="774"/>
    </row>
    <row r="19" spans="2:7" ht="15" customHeight="1" x14ac:dyDescent="0.2">
      <c r="B19" s="770"/>
      <c r="C19" s="771" t="s">
        <v>780</v>
      </c>
      <c r="D19" s="772"/>
      <c r="E19" s="773" t="s">
        <v>704</v>
      </c>
      <c r="F19" s="774">
        <v>150025</v>
      </c>
      <c r="G19" s="774">
        <v>150025</v>
      </c>
    </row>
    <row r="20" spans="2:7" ht="15.75" customHeight="1" x14ac:dyDescent="0.2">
      <c r="B20" s="770"/>
      <c r="C20" s="771"/>
      <c r="D20" s="772"/>
      <c r="E20" s="773" t="s">
        <v>705</v>
      </c>
      <c r="F20" s="774">
        <v>771117</v>
      </c>
      <c r="G20" s="774">
        <v>771117</v>
      </c>
    </row>
    <row r="21" spans="2:7" ht="18.75" customHeight="1" x14ac:dyDescent="0.25">
      <c r="B21" s="775" t="s">
        <v>781</v>
      </c>
      <c r="C21" s="776" t="s">
        <v>780</v>
      </c>
      <c r="D21" s="777"/>
      <c r="E21" s="778" t="s">
        <v>707</v>
      </c>
      <c r="F21" s="779">
        <f>SUM(F19:F20)</f>
        <v>921142</v>
      </c>
      <c r="G21" s="779">
        <f>SUM(G19:G20)</f>
        <v>921142</v>
      </c>
    </row>
    <row r="22" spans="2:7" x14ac:dyDescent="0.2">
      <c r="B22" s="770"/>
      <c r="C22" s="771"/>
      <c r="D22" s="772"/>
      <c r="E22" s="773"/>
      <c r="F22" s="774"/>
      <c r="G22" s="774"/>
    </row>
    <row r="23" spans="2:7" x14ac:dyDescent="0.2">
      <c r="B23" s="770"/>
      <c r="C23" s="771" t="s">
        <v>782</v>
      </c>
      <c r="D23" s="772"/>
      <c r="E23" s="773" t="s">
        <v>704</v>
      </c>
      <c r="F23" s="774">
        <v>-4400546</v>
      </c>
      <c r="G23" s="774">
        <v>-4049534</v>
      </c>
    </row>
    <row r="24" spans="2:7" x14ac:dyDescent="0.2">
      <c r="B24" s="770"/>
      <c r="C24" s="771"/>
      <c r="D24" s="772"/>
      <c r="E24" s="773" t="s">
        <v>705</v>
      </c>
      <c r="F24" s="774">
        <v>-15638009</v>
      </c>
      <c r="G24" s="774">
        <v>-15870369</v>
      </c>
    </row>
    <row r="25" spans="2:7" ht="18.75" customHeight="1" x14ac:dyDescent="0.25">
      <c r="B25" s="775" t="s">
        <v>783</v>
      </c>
      <c r="C25" s="776" t="s">
        <v>782</v>
      </c>
      <c r="D25" s="777"/>
      <c r="E25" s="778" t="s">
        <v>707</v>
      </c>
      <c r="F25" s="779">
        <f>SUM(F23:F24)</f>
        <v>-20038555</v>
      </c>
      <c r="G25" s="779">
        <f>SUM(G23:G24)</f>
        <v>-19919903</v>
      </c>
    </row>
    <row r="26" spans="2:7" x14ac:dyDescent="0.2">
      <c r="B26" s="770"/>
      <c r="C26" s="771"/>
      <c r="D26" s="772"/>
      <c r="E26" s="773"/>
      <c r="F26" s="774"/>
      <c r="G26" s="774"/>
    </row>
    <row r="27" spans="2:7" ht="15" customHeight="1" x14ac:dyDescent="0.2">
      <c r="B27" s="770"/>
      <c r="C27" s="771" t="s">
        <v>784</v>
      </c>
      <c r="D27" s="772"/>
      <c r="E27" s="773" t="s">
        <v>704</v>
      </c>
      <c r="F27" s="774">
        <v>0</v>
      </c>
      <c r="G27" s="774">
        <v>0</v>
      </c>
    </row>
    <row r="28" spans="2:7" ht="10.5" customHeight="1" x14ac:dyDescent="0.2">
      <c r="B28" s="770"/>
      <c r="C28" s="771"/>
      <c r="D28" s="772"/>
      <c r="E28" s="773" t="s">
        <v>705</v>
      </c>
      <c r="F28" s="774">
        <v>0</v>
      </c>
      <c r="G28" s="774">
        <v>0</v>
      </c>
    </row>
    <row r="29" spans="2:7" ht="19.5" customHeight="1" x14ac:dyDescent="0.25">
      <c r="B29" s="775" t="s">
        <v>785</v>
      </c>
      <c r="C29" s="776" t="s">
        <v>784</v>
      </c>
      <c r="D29" s="777"/>
      <c r="E29" s="778" t="s">
        <v>707</v>
      </c>
      <c r="F29" s="779">
        <f>SUM(F27:F28)</f>
        <v>0</v>
      </c>
      <c r="G29" s="779">
        <f>SUM(G27:G28)</f>
        <v>0</v>
      </c>
    </row>
    <row r="30" spans="2:7" x14ac:dyDescent="0.2">
      <c r="B30" s="770"/>
      <c r="C30" s="771"/>
      <c r="D30" s="772"/>
      <c r="E30" s="773"/>
      <c r="F30" s="774"/>
      <c r="G30" s="774"/>
    </row>
    <row r="31" spans="2:7" x14ac:dyDescent="0.2">
      <c r="B31" s="770"/>
      <c r="C31" s="771" t="s">
        <v>786</v>
      </c>
      <c r="D31" s="772"/>
      <c r="E31" s="773" t="s">
        <v>704</v>
      </c>
      <c r="F31" s="774">
        <v>351010</v>
      </c>
      <c r="G31" s="774">
        <v>-239797</v>
      </c>
    </row>
    <row r="32" spans="2:7" x14ac:dyDescent="0.2">
      <c r="B32" s="770"/>
      <c r="C32" s="771"/>
      <c r="D32" s="772"/>
      <c r="E32" s="773" t="s">
        <v>705</v>
      </c>
      <c r="F32" s="774">
        <v>-232360</v>
      </c>
      <c r="G32" s="774">
        <f>-1096637-1</f>
        <v>-1096638</v>
      </c>
    </row>
    <row r="33" spans="2:7" ht="20.25" customHeight="1" x14ac:dyDescent="0.25">
      <c r="B33" s="775" t="s">
        <v>787</v>
      </c>
      <c r="C33" s="776" t="s">
        <v>786</v>
      </c>
      <c r="D33" s="777"/>
      <c r="E33" s="778" t="s">
        <v>707</v>
      </c>
      <c r="F33" s="779">
        <f>SUM(F31:F32)</f>
        <v>118650</v>
      </c>
      <c r="G33" s="779">
        <f>SUM(G31:G32)</f>
        <v>-1336435</v>
      </c>
    </row>
    <row r="34" spans="2:7" ht="15" customHeight="1" x14ac:dyDescent="0.25">
      <c r="B34" s="766"/>
      <c r="C34" s="781"/>
      <c r="D34" s="768"/>
      <c r="E34" s="760"/>
      <c r="F34" s="769"/>
      <c r="G34" s="769"/>
    </row>
    <row r="35" spans="2:7" x14ac:dyDescent="0.2">
      <c r="B35" s="770"/>
      <c r="C35" s="771" t="s">
        <v>788</v>
      </c>
      <c r="D35" s="772"/>
      <c r="E35" s="773" t="s">
        <v>704</v>
      </c>
      <c r="F35" s="774">
        <f>+F11+F15+F19+F23+F27+F31</f>
        <v>8029963</v>
      </c>
      <c r="G35" s="774">
        <f>+G11+G15+G19+G23+G27+G31</f>
        <v>7790167</v>
      </c>
    </row>
    <row r="36" spans="2:7" ht="15" thickBot="1" x14ac:dyDescent="0.25">
      <c r="B36" s="770"/>
      <c r="C36" s="771"/>
      <c r="D36" s="772"/>
      <c r="E36" s="773" t="s">
        <v>705</v>
      </c>
      <c r="F36" s="774">
        <f>+F12+F16+F20+F24+F28+F32</f>
        <v>71532069</v>
      </c>
      <c r="G36" s="774">
        <f>+G12+G16+G20+G24+G28+G32</f>
        <v>70350160</v>
      </c>
    </row>
    <row r="37" spans="2:7" ht="24" customHeight="1" thickBot="1" x14ac:dyDescent="0.3">
      <c r="B37" s="782" t="s">
        <v>789</v>
      </c>
      <c r="C37" s="2739" t="s">
        <v>790</v>
      </c>
      <c r="D37" s="2740"/>
      <c r="E37" s="783" t="s">
        <v>707</v>
      </c>
      <c r="F37" s="784">
        <f>SUM(F35:F36)</f>
        <v>79562032</v>
      </c>
      <c r="G37" s="784">
        <f>SUM(G35:G36)</f>
        <v>78140327</v>
      </c>
    </row>
    <row r="38" spans="2:7" ht="15" x14ac:dyDescent="0.25">
      <c r="B38" s="766"/>
      <c r="C38" s="767"/>
      <c r="D38" s="768"/>
      <c r="E38" s="760"/>
      <c r="F38" s="769"/>
      <c r="G38" s="769"/>
    </row>
    <row r="39" spans="2:7" ht="12" customHeight="1" x14ac:dyDescent="0.2">
      <c r="B39" s="770"/>
      <c r="C39" s="771" t="s">
        <v>791</v>
      </c>
      <c r="D39" s="772"/>
      <c r="E39" s="773" t="s">
        <v>704</v>
      </c>
      <c r="F39" s="774">
        <v>48144</v>
      </c>
      <c r="G39" s="774">
        <v>61848</v>
      </c>
    </row>
    <row r="40" spans="2:7" ht="12" customHeight="1" x14ac:dyDescent="0.2">
      <c r="B40" s="770"/>
      <c r="C40" s="771"/>
      <c r="D40" s="772"/>
      <c r="E40" s="773" t="s">
        <v>705</v>
      </c>
      <c r="F40" s="774">
        <v>296837</v>
      </c>
      <c r="G40" s="774">
        <f>562853+1</f>
        <v>562854</v>
      </c>
    </row>
    <row r="41" spans="2:7" ht="21" customHeight="1" x14ac:dyDescent="0.25">
      <c r="B41" s="775" t="s">
        <v>792</v>
      </c>
      <c r="C41" s="776" t="s">
        <v>791</v>
      </c>
      <c r="D41" s="777"/>
      <c r="E41" s="778" t="s">
        <v>707</v>
      </c>
      <c r="F41" s="779">
        <f>SUM(F39:F40)</f>
        <v>344981</v>
      </c>
      <c r="G41" s="779">
        <f>SUM(G39:G40)</f>
        <v>624702</v>
      </c>
    </row>
    <row r="42" spans="2:7" ht="12.75" customHeight="1" x14ac:dyDescent="0.2">
      <c r="B42" s="770"/>
      <c r="C42" s="771"/>
      <c r="D42" s="772"/>
      <c r="E42" s="773"/>
      <c r="F42" s="774"/>
      <c r="G42" s="774"/>
    </row>
    <row r="43" spans="2:7" x14ac:dyDescent="0.2">
      <c r="B43" s="770"/>
      <c r="C43" s="771" t="s">
        <v>793</v>
      </c>
      <c r="D43" s="772"/>
      <c r="E43" s="773" t="s">
        <v>704</v>
      </c>
      <c r="F43" s="774">
        <v>133301</v>
      </c>
      <c r="G43" s="774">
        <v>108435</v>
      </c>
    </row>
    <row r="44" spans="2:7" x14ac:dyDescent="0.2">
      <c r="B44" s="770"/>
      <c r="C44" s="780"/>
      <c r="D44" s="772"/>
      <c r="E44" s="773" t="s">
        <v>705</v>
      </c>
      <c r="F44" s="774">
        <v>1062576</v>
      </c>
      <c r="G44" s="774">
        <f>579939-1</f>
        <v>579938</v>
      </c>
    </row>
    <row r="45" spans="2:7" ht="16.5" customHeight="1" x14ac:dyDescent="0.25">
      <c r="B45" s="775" t="s">
        <v>794</v>
      </c>
      <c r="C45" s="776" t="s">
        <v>793</v>
      </c>
      <c r="D45" s="777"/>
      <c r="E45" s="778" t="s">
        <v>707</v>
      </c>
      <c r="F45" s="779">
        <f>SUM(F43:F44)</f>
        <v>1195877</v>
      </c>
      <c r="G45" s="779">
        <f>SUM(G43:G44)</f>
        <v>688373</v>
      </c>
    </row>
    <row r="46" spans="2:7" x14ac:dyDescent="0.2">
      <c r="B46" s="770"/>
      <c r="C46" s="771"/>
      <c r="D46" s="772"/>
      <c r="E46" s="773"/>
      <c r="F46" s="774"/>
      <c r="G46" s="774"/>
    </row>
    <row r="47" spans="2:7" ht="15" customHeight="1" x14ac:dyDescent="0.2">
      <c r="B47" s="770"/>
      <c r="C47" s="771" t="s">
        <v>795</v>
      </c>
      <c r="D47" s="772"/>
      <c r="E47" s="773" t="s">
        <v>704</v>
      </c>
      <c r="F47" s="774">
        <v>10152</v>
      </c>
      <c r="G47" s="774">
        <v>7200</v>
      </c>
    </row>
    <row r="48" spans="2:7" ht="12.75" customHeight="1" x14ac:dyDescent="0.2">
      <c r="B48" s="770"/>
      <c r="C48" s="771"/>
      <c r="D48" s="772"/>
      <c r="E48" s="773" t="s">
        <v>705</v>
      </c>
      <c r="F48" s="774">
        <v>258012</v>
      </c>
      <c r="G48" s="774">
        <v>268969</v>
      </c>
    </row>
    <row r="49" spans="2:14" ht="17.25" customHeight="1" x14ac:dyDescent="0.25">
      <c r="B49" s="775" t="s">
        <v>796</v>
      </c>
      <c r="C49" s="776" t="s">
        <v>795</v>
      </c>
      <c r="D49" s="777"/>
      <c r="E49" s="778" t="s">
        <v>707</v>
      </c>
      <c r="F49" s="779">
        <f>SUM(F47:F48)</f>
        <v>268164</v>
      </c>
      <c r="G49" s="779">
        <f>SUM(G47:G48)</f>
        <v>276169</v>
      </c>
    </row>
    <row r="50" spans="2:14" ht="15" x14ac:dyDescent="0.25">
      <c r="B50" s="766"/>
      <c r="C50" s="781"/>
      <c r="D50" s="768"/>
      <c r="E50" s="760"/>
      <c r="F50" s="769"/>
      <c r="G50" s="769"/>
    </row>
    <row r="51" spans="2:14" x14ac:dyDescent="0.2">
      <c r="B51" s="770"/>
      <c r="C51" s="771" t="s">
        <v>797</v>
      </c>
      <c r="D51" s="772"/>
      <c r="E51" s="773" t="s">
        <v>704</v>
      </c>
      <c r="F51" s="774">
        <f>+F39+F43+F47</f>
        <v>191597</v>
      </c>
      <c r="G51" s="774">
        <f>+G39+G43+G47</f>
        <v>177483</v>
      </c>
    </row>
    <row r="52" spans="2:14" ht="15" thickBot="1" x14ac:dyDescent="0.25">
      <c r="B52" s="770"/>
      <c r="C52" s="771"/>
      <c r="D52" s="772"/>
      <c r="E52" s="773" t="s">
        <v>705</v>
      </c>
      <c r="F52" s="774">
        <f>+F40+F44+F48</f>
        <v>1617425</v>
      </c>
      <c r="G52" s="774">
        <f>+G40+G44+G48</f>
        <v>1411761</v>
      </c>
    </row>
    <row r="53" spans="2:14" ht="21.75" customHeight="1" thickBot="1" x14ac:dyDescent="0.3">
      <c r="B53" s="782" t="s">
        <v>798</v>
      </c>
      <c r="C53" s="2739" t="s">
        <v>797</v>
      </c>
      <c r="D53" s="2740"/>
      <c r="E53" s="783" t="s">
        <v>707</v>
      </c>
      <c r="F53" s="784">
        <f>SUM(F51:F52)</f>
        <v>1809022</v>
      </c>
      <c r="G53" s="784">
        <f>SUM(G51:G52)</f>
        <v>1589244</v>
      </c>
      <c r="H53" s="773"/>
      <c r="I53" s="773"/>
      <c r="J53" s="773"/>
      <c r="K53" s="773"/>
      <c r="L53" s="773"/>
      <c r="M53" s="773"/>
      <c r="N53" s="773"/>
    </row>
    <row r="54" spans="2:14" ht="12.75" customHeight="1" x14ac:dyDescent="0.25">
      <c r="B54" s="785"/>
      <c r="C54" s="786"/>
      <c r="D54" s="787"/>
      <c r="E54" s="788"/>
      <c r="F54" s="789"/>
      <c r="G54" s="789"/>
      <c r="H54" s="773"/>
      <c r="I54" s="773"/>
      <c r="J54" s="773"/>
      <c r="K54" s="773"/>
      <c r="L54" s="773"/>
      <c r="M54" s="773"/>
      <c r="N54" s="773"/>
    </row>
    <row r="55" spans="2:14" ht="12.75" customHeight="1" x14ac:dyDescent="0.25">
      <c r="B55" s="785"/>
      <c r="C55" s="786"/>
      <c r="D55" s="787"/>
      <c r="E55" s="788"/>
      <c r="F55" s="789"/>
      <c r="G55" s="789"/>
      <c r="H55" s="773"/>
      <c r="I55" s="773"/>
      <c r="J55" s="773"/>
      <c r="K55" s="773"/>
      <c r="L55" s="773"/>
      <c r="M55" s="773"/>
      <c r="N55" s="773"/>
    </row>
    <row r="56" spans="2:14" ht="12" customHeight="1" x14ac:dyDescent="0.2">
      <c r="B56" s="770"/>
      <c r="C56" s="771" t="s">
        <v>799</v>
      </c>
      <c r="D56" s="772"/>
      <c r="E56" s="773" t="s">
        <v>704</v>
      </c>
      <c r="F56" s="774">
        <v>0</v>
      </c>
      <c r="G56" s="774">
        <v>0</v>
      </c>
      <c r="H56" s="773"/>
      <c r="I56" s="773"/>
      <c r="J56" s="773"/>
      <c r="K56" s="773"/>
      <c r="L56" s="773"/>
      <c r="M56" s="773"/>
      <c r="N56" s="773"/>
    </row>
    <row r="57" spans="2:14" ht="12" customHeight="1" thickBot="1" x14ac:dyDescent="0.25">
      <c r="B57" s="770"/>
      <c r="C57" s="771"/>
      <c r="D57" s="772"/>
      <c r="E57" s="773" t="s">
        <v>705</v>
      </c>
      <c r="F57" s="774">
        <v>0</v>
      </c>
      <c r="G57" s="774">
        <v>0</v>
      </c>
      <c r="H57" s="773"/>
      <c r="I57" s="773"/>
      <c r="J57" s="773"/>
      <c r="K57" s="773"/>
      <c r="L57" s="773"/>
      <c r="M57" s="773"/>
      <c r="N57" s="773"/>
    </row>
    <row r="58" spans="2:14" ht="35.25" customHeight="1" thickBot="1" x14ac:dyDescent="0.3">
      <c r="B58" s="782" t="s">
        <v>800</v>
      </c>
      <c r="C58" s="2739" t="s">
        <v>799</v>
      </c>
      <c r="D58" s="2740"/>
      <c r="E58" s="783" t="s">
        <v>707</v>
      </c>
      <c r="F58" s="784">
        <f>SUM(F56:F57)</f>
        <v>0</v>
      </c>
      <c r="G58" s="784">
        <f>SUM(G56:G57)</f>
        <v>0</v>
      </c>
      <c r="H58" s="773"/>
      <c r="I58" s="773"/>
      <c r="J58" s="773"/>
      <c r="K58" s="773"/>
      <c r="L58" s="773"/>
      <c r="M58" s="773"/>
      <c r="N58" s="773"/>
    </row>
    <row r="59" spans="2:14" ht="12" customHeight="1" x14ac:dyDescent="0.25">
      <c r="B59" s="766"/>
      <c r="C59" s="767"/>
      <c r="D59" s="768"/>
      <c r="E59" s="760"/>
      <c r="F59" s="769"/>
      <c r="G59" s="769"/>
    </row>
    <row r="60" spans="2:14" ht="15" customHeight="1" x14ac:dyDescent="0.2">
      <c r="B60" s="770"/>
      <c r="C60" s="771" t="s">
        <v>801</v>
      </c>
      <c r="D60" s="772"/>
      <c r="E60" s="773" t="s">
        <v>704</v>
      </c>
      <c r="F60" s="774">
        <v>30404</v>
      </c>
      <c r="G60" s="774">
        <v>22124</v>
      </c>
      <c r="H60" s="773"/>
      <c r="I60" s="773"/>
      <c r="J60" s="773"/>
      <c r="K60" s="773"/>
      <c r="L60" s="773"/>
      <c r="M60" s="773"/>
    </row>
    <row r="61" spans="2:14" ht="12.75" customHeight="1" x14ac:dyDescent="0.2">
      <c r="B61" s="770"/>
      <c r="C61" s="771"/>
      <c r="D61" s="772"/>
      <c r="E61" s="773" t="s">
        <v>705</v>
      </c>
      <c r="F61" s="774">
        <v>3446</v>
      </c>
      <c r="G61" s="774">
        <v>106163</v>
      </c>
    </row>
    <row r="62" spans="2:14" ht="30.75" customHeight="1" x14ac:dyDescent="0.25">
      <c r="B62" s="775" t="s">
        <v>802</v>
      </c>
      <c r="C62" s="2737" t="s">
        <v>803</v>
      </c>
      <c r="D62" s="2738"/>
      <c r="E62" s="778" t="s">
        <v>707</v>
      </c>
      <c r="F62" s="779">
        <f>SUM(F60:F61)</f>
        <v>33850</v>
      </c>
      <c r="G62" s="779">
        <f>SUM(G60:G61)</f>
        <v>128287</v>
      </c>
    </row>
    <row r="63" spans="2:14" x14ac:dyDescent="0.2">
      <c r="B63" s="770"/>
      <c r="C63" s="771"/>
      <c r="D63" s="772"/>
      <c r="E63" s="773"/>
      <c r="F63" s="774"/>
      <c r="G63" s="774"/>
    </row>
    <row r="64" spans="2:14" x14ac:dyDescent="0.2">
      <c r="B64" s="770"/>
      <c r="C64" s="771" t="s">
        <v>768</v>
      </c>
      <c r="D64" s="772"/>
      <c r="E64" s="773" t="s">
        <v>704</v>
      </c>
      <c r="F64" s="774">
        <v>488338</v>
      </c>
      <c r="G64" s="774">
        <v>581331</v>
      </c>
    </row>
    <row r="65" spans="2:7" x14ac:dyDescent="0.2">
      <c r="B65" s="770"/>
      <c r="C65" s="780"/>
      <c r="D65" s="772"/>
      <c r="E65" s="773" t="s">
        <v>705</v>
      </c>
      <c r="F65" s="774">
        <v>86750</v>
      </c>
      <c r="G65" s="774">
        <v>160552</v>
      </c>
    </row>
    <row r="66" spans="2:7" ht="19.5" customHeight="1" x14ac:dyDescent="0.25">
      <c r="B66" s="775" t="s">
        <v>804</v>
      </c>
      <c r="C66" s="776" t="s">
        <v>805</v>
      </c>
      <c r="D66" s="777"/>
      <c r="E66" s="778" t="s">
        <v>707</v>
      </c>
      <c r="F66" s="779">
        <f>SUM(F64:F65)</f>
        <v>575088</v>
      </c>
      <c r="G66" s="779">
        <f>SUM(G64:G65)</f>
        <v>741883</v>
      </c>
    </row>
    <row r="67" spans="2:7" ht="12.75" customHeight="1" x14ac:dyDescent="0.2">
      <c r="B67" s="770"/>
      <c r="C67" s="771"/>
      <c r="D67" s="772"/>
      <c r="E67" s="773"/>
      <c r="F67" s="774"/>
      <c r="G67" s="774"/>
    </row>
    <row r="68" spans="2:7" x14ac:dyDescent="0.2">
      <c r="B68" s="770"/>
      <c r="C68" s="771" t="s">
        <v>1303</v>
      </c>
      <c r="D68" s="772"/>
      <c r="E68" s="773" t="s">
        <v>704</v>
      </c>
      <c r="F68" s="774">
        <v>555</v>
      </c>
      <c r="G68" s="774">
        <v>445</v>
      </c>
    </row>
    <row r="69" spans="2:7" x14ac:dyDescent="0.2">
      <c r="B69" s="770"/>
      <c r="C69" s="771"/>
      <c r="D69" s="772"/>
      <c r="E69" s="773" t="s">
        <v>705</v>
      </c>
      <c r="F69" s="774">
        <v>1588955</v>
      </c>
      <c r="G69" s="774">
        <v>10979235</v>
      </c>
    </row>
    <row r="70" spans="2:7" ht="16.5" customHeight="1" x14ac:dyDescent="0.25">
      <c r="B70" s="775" t="s">
        <v>806</v>
      </c>
      <c r="C70" s="776" t="s">
        <v>1303</v>
      </c>
      <c r="D70" s="777"/>
      <c r="E70" s="778" t="s">
        <v>707</v>
      </c>
      <c r="F70" s="779">
        <f>SUM(F68:F69)</f>
        <v>1589510</v>
      </c>
      <c r="G70" s="779">
        <f>SUM(G68:G69)</f>
        <v>10979680</v>
      </c>
    </row>
    <row r="71" spans="2:7" x14ac:dyDescent="0.2">
      <c r="B71" s="770"/>
      <c r="C71" s="771"/>
      <c r="D71" s="772"/>
      <c r="E71" s="773"/>
      <c r="F71" s="774"/>
      <c r="G71" s="774"/>
    </row>
    <row r="72" spans="2:7" ht="15" customHeight="1" x14ac:dyDescent="0.2">
      <c r="B72" s="770"/>
      <c r="C72" s="771" t="s">
        <v>807</v>
      </c>
      <c r="D72" s="772"/>
      <c r="E72" s="773" t="s">
        <v>704</v>
      </c>
      <c r="F72" s="774">
        <f>+F60+F64+F68</f>
        <v>519297</v>
      </c>
      <c r="G72" s="774">
        <f>+G60+G64+G68</f>
        <v>603900</v>
      </c>
    </row>
    <row r="73" spans="2:7" ht="12" customHeight="1" thickBot="1" x14ac:dyDescent="0.25">
      <c r="B73" s="770"/>
      <c r="C73" s="771"/>
      <c r="D73" s="772"/>
      <c r="E73" s="773" t="s">
        <v>705</v>
      </c>
      <c r="F73" s="774">
        <f>+F61+F65+F69</f>
        <v>1679151</v>
      </c>
      <c r="G73" s="774">
        <f>+G61+G65+G69</f>
        <v>11245950</v>
      </c>
    </row>
    <row r="74" spans="2:7" ht="24.75" customHeight="1" thickBot="1" x14ac:dyDescent="0.3">
      <c r="B74" s="782" t="s">
        <v>808</v>
      </c>
      <c r="C74" s="2739" t="s">
        <v>809</v>
      </c>
      <c r="D74" s="2740"/>
      <c r="E74" s="783" t="s">
        <v>707</v>
      </c>
      <c r="F74" s="784">
        <f>SUM(F72:F73)</f>
        <v>2198448</v>
      </c>
      <c r="G74" s="784">
        <f>SUM(G72:G73)</f>
        <v>11849850</v>
      </c>
    </row>
    <row r="75" spans="2:7" x14ac:dyDescent="0.2">
      <c r="B75" s="770"/>
      <c r="C75" s="771"/>
      <c r="D75" s="772"/>
      <c r="E75" s="773"/>
      <c r="F75" s="774"/>
      <c r="G75" s="774"/>
    </row>
    <row r="76" spans="2:7" ht="15" x14ac:dyDescent="0.25">
      <c r="B76" s="770"/>
      <c r="C76" s="767" t="s">
        <v>775</v>
      </c>
      <c r="D76" s="772"/>
      <c r="E76" s="773" t="s">
        <v>704</v>
      </c>
      <c r="F76" s="774">
        <f>+F35+F51+F56+F72</f>
        <v>8740857</v>
      </c>
      <c r="G76" s="774">
        <f>+G35+G51+G56+G72</f>
        <v>8571550</v>
      </c>
    </row>
    <row r="77" spans="2:7" ht="15" thickBot="1" x14ac:dyDescent="0.25">
      <c r="B77" s="770"/>
      <c r="C77" s="771"/>
      <c r="D77" s="772"/>
      <c r="E77" s="773" t="s">
        <v>705</v>
      </c>
      <c r="F77" s="774">
        <f>+F36+F52+F57+F73</f>
        <v>74828645</v>
      </c>
      <c r="G77" s="774">
        <f>+G36+G52+G57+G73</f>
        <v>83007871</v>
      </c>
    </row>
    <row r="78" spans="2:7" ht="24.75" customHeight="1" thickBot="1" x14ac:dyDescent="0.3">
      <c r="B78" s="782"/>
      <c r="C78" s="2739" t="s">
        <v>810</v>
      </c>
      <c r="D78" s="2740"/>
      <c r="E78" s="783" t="s">
        <v>707</v>
      </c>
      <c r="F78" s="784">
        <f>SUM(F76:F77)</f>
        <v>83569502</v>
      </c>
      <c r="G78" s="784">
        <f>SUM(G76:G77)</f>
        <v>91579421</v>
      </c>
    </row>
    <row r="79" spans="2:7" ht="12.75" customHeight="1" x14ac:dyDescent="0.2"/>
    <row r="80" spans="2:7" x14ac:dyDescent="0.2">
      <c r="F80" s="790">
        <f>+'23 eszközök'!F140</f>
        <v>83569502</v>
      </c>
      <c r="G80" s="790">
        <f>+'23 eszközök'!G140</f>
        <v>91579421</v>
      </c>
    </row>
    <row r="81" spans="6:8" x14ac:dyDescent="0.2">
      <c r="F81" s="790">
        <f>+F78-F80</f>
        <v>0</v>
      </c>
      <c r="G81" s="790">
        <f>+G78-G80</f>
        <v>0</v>
      </c>
    </row>
    <row r="84" spans="6:8" ht="15" customHeight="1" x14ac:dyDescent="0.2"/>
    <row r="85" spans="6:8" ht="12" customHeight="1" x14ac:dyDescent="0.2"/>
    <row r="86" spans="6:8" x14ac:dyDescent="0.2">
      <c r="H86" s="790"/>
    </row>
    <row r="87" spans="6:8" x14ac:dyDescent="0.2">
      <c r="H87" s="790"/>
    </row>
    <row r="88" spans="6:8" x14ac:dyDescent="0.2">
      <c r="H88" s="790"/>
    </row>
    <row r="90" spans="6:8" ht="21" customHeight="1" x14ac:dyDescent="0.2"/>
  </sheetData>
  <mergeCells count="9">
    <mergeCell ref="C62:D62"/>
    <mergeCell ref="C74:D74"/>
    <mergeCell ref="C78:D78"/>
    <mergeCell ref="B3:G3"/>
    <mergeCell ref="B5:G5"/>
    <mergeCell ref="C7:D7"/>
    <mergeCell ref="C37:D37"/>
    <mergeCell ref="C53:D53"/>
    <mergeCell ref="C58:D58"/>
  </mergeCells>
  <printOptions horizontalCentered="1" verticalCentered="1"/>
  <pageMargins left="0.19685039370078741" right="0.19685039370078741" top="0.23622047244094491" bottom="0.35433070866141736" header="0.15748031496062992" footer="0.31496062992125984"/>
  <pageSetup paperSize="9" scale="70" orientation="portrait" verticalDpi="300" r:id="rId1"/>
  <headerFooter alignWithMargins="0">
    <oddHeader>&amp;R&amp;"Arial CE,Félkövér"&amp;14 24. 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88"/>
  <sheetViews>
    <sheetView zoomScale="75" zoomScaleNormal="75" workbookViewId="0">
      <selection activeCell="B1" sqref="B1:E1"/>
    </sheetView>
  </sheetViews>
  <sheetFormatPr defaultColWidth="12" defaultRowHeight="15" x14ac:dyDescent="0.2"/>
  <cols>
    <col min="1" max="1" width="5.33203125" style="791" customWidth="1"/>
    <col min="2" max="2" width="44" style="791" customWidth="1"/>
    <col min="3" max="3" width="13.1640625" style="816" customWidth="1"/>
    <col min="4" max="4" width="63.5" style="791" customWidth="1"/>
    <col min="5" max="5" width="13.1640625" style="816" customWidth="1"/>
    <col min="6" max="6" width="15.6640625" style="791" customWidth="1"/>
    <col min="7" max="16384" width="12" style="791"/>
  </cols>
  <sheetData>
    <row r="3" spans="2:6" ht="18.75" customHeight="1" x14ac:dyDescent="0.25">
      <c r="B3" s="2746" t="s">
        <v>663</v>
      </c>
      <c r="C3" s="2746"/>
      <c r="D3" s="2746"/>
      <c r="E3" s="2746"/>
      <c r="F3" s="2746"/>
    </row>
    <row r="4" spans="2:6" ht="24" customHeight="1" x14ac:dyDescent="0.2">
      <c r="B4" s="2747" t="s">
        <v>1932</v>
      </c>
      <c r="C4" s="2747"/>
      <c r="D4" s="2747"/>
      <c r="E4" s="2747"/>
      <c r="F4" s="2747"/>
    </row>
    <row r="5" spans="2:6" s="792" customFormat="1" ht="24" customHeight="1" x14ac:dyDescent="0.25">
      <c r="B5" s="2748" t="s">
        <v>811</v>
      </c>
      <c r="C5" s="2748"/>
      <c r="D5" s="2748"/>
      <c r="E5" s="2748"/>
      <c r="F5" s="2748"/>
    </row>
    <row r="6" spans="2:6" x14ac:dyDescent="0.2">
      <c r="B6" s="2748" t="s">
        <v>812</v>
      </c>
      <c r="C6" s="2748"/>
      <c r="D6" s="2748"/>
      <c r="E6" s="2748"/>
      <c r="F6" s="2748"/>
    </row>
    <row r="7" spans="2:6" x14ac:dyDescent="0.2">
      <c r="B7" s="2748" t="s">
        <v>813</v>
      </c>
      <c r="C7" s="2748"/>
      <c r="D7" s="2748"/>
      <c r="E7" s="2748"/>
      <c r="F7" s="2748"/>
    </row>
    <row r="8" spans="2:6" ht="15.75" thickBot="1" x14ac:dyDescent="0.25">
      <c r="B8" s="2745" t="s">
        <v>814</v>
      </c>
      <c r="C8" s="2745"/>
      <c r="D8" s="2745"/>
      <c r="E8" s="2745"/>
      <c r="F8" s="2745"/>
    </row>
    <row r="9" spans="2:6" ht="42" customHeight="1" thickBot="1" x14ac:dyDescent="0.3">
      <c r="B9" s="793" t="s">
        <v>815</v>
      </c>
      <c r="C9" s="794" t="s">
        <v>816</v>
      </c>
      <c r="D9" s="795" t="s">
        <v>817</v>
      </c>
      <c r="E9" s="796" t="s">
        <v>818</v>
      </c>
      <c r="F9" s="797" t="s">
        <v>819</v>
      </c>
    </row>
    <row r="10" spans="2:6" ht="24.75" customHeight="1" x14ac:dyDescent="0.25">
      <c r="B10" s="798" t="s">
        <v>820</v>
      </c>
      <c r="C10" s="799"/>
      <c r="D10" s="800"/>
      <c r="E10" s="801"/>
      <c r="F10" s="802"/>
    </row>
    <row r="11" spans="2:6" x14ac:dyDescent="0.2">
      <c r="B11" s="803" t="s">
        <v>821</v>
      </c>
      <c r="C11" s="804">
        <v>50846</v>
      </c>
      <c r="D11" s="805" t="s">
        <v>822</v>
      </c>
      <c r="E11" s="806">
        <v>28873</v>
      </c>
      <c r="F11" s="802"/>
    </row>
    <row r="12" spans="2:6" x14ac:dyDescent="0.2">
      <c r="B12" s="803"/>
      <c r="C12" s="804"/>
      <c r="D12" s="805" t="s">
        <v>823</v>
      </c>
      <c r="E12" s="806">
        <v>14078</v>
      </c>
      <c r="F12" s="802"/>
    </row>
    <row r="13" spans="2:6" x14ac:dyDescent="0.2">
      <c r="B13" s="803"/>
      <c r="C13" s="804"/>
      <c r="D13" s="805" t="s">
        <v>824</v>
      </c>
      <c r="E13" s="806">
        <v>4524</v>
      </c>
      <c r="F13" s="802"/>
    </row>
    <row r="14" spans="2:6" x14ac:dyDescent="0.2">
      <c r="B14" s="803"/>
      <c r="C14" s="807"/>
      <c r="D14" s="805" t="s">
        <v>825</v>
      </c>
      <c r="E14" s="806">
        <v>1135</v>
      </c>
      <c r="F14" s="802"/>
    </row>
    <row r="15" spans="2:6" x14ac:dyDescent="0.2">
      <c r="B15" s="803"/>
      <c r="C15" s="807"/>
      <c r="D15" s="805" t="s">
        <v>826</v>
      </c>
      <c r="E15" s="806">
        <v>1500</v>
      </c>
      <c r="F15" s="802"/>
    </row>
    <row r="16" spans="2:6" x14ac:dyDescent="0.2">
      <c r="B16" s="803"/>
      <c r="C16" s="804"/>
      <c r="D16" s="805" t="s">
        <v>827</v>
      </c>
      <c r="E16" s="806">
        <v>736</v>
      </c>
      <c r="F16" s="802"/>
    </row>
    <row r="17" spans="2:9" s="792" customFormat="1" ht="23.25" customHeight="1" thickBot="1" x14ac:dyDescent="0.3">
      <c r="B17" s="808"/>
      <c r="C17" s="809">
        <f>SUM(C11:C16)</f>
        <v>50846</v>
      </c>
      <c r="D17" s="810"/>
      <c r="E17" s="811">
        <f>SUM(E11:E16)</f>
        <v>50846</v>
      </c>
      <c r="F17" s="812">
        <f>C17-E17</f>
        <v>0</v>
      </c>
    </row>
    <row r="18" spans="2:9" s="792" customFormat="1" ht="19.5" customHeight="1" x14ac:dyDescent="0.25">
      <c r="B18" s="798" t="s">
        <v>828</v>
      </c>
      <c r="C18" s="807"/>
      <c r="D18" s="800"/>
      <c r="E18" s="801"/>
      <c r="F18" s="813"/>
      <c r="I18" s="791"/>
    </row>
    <row r="19" spans="2:9" x14ac:dyDescent="0.2">
      <c r="B19" s="803" t="s">
        <v>829</v>
      </c>
      <c r="C19" s="804">
        <v>488825</v>
      </c>
      <c r="D19" s="805" t="s">
        <v>830</v>
      </c>
      <c r="E19" s="806">
        <v>32035</v>
      </c>
      <c r="F19" s="802"/>
    </row>
    <row r="20" spans="2:9" x14ac:dyDescent="0.2">
      <c r="B20" s="803" t="s">
        <v>110</v>
      </c>
      <c r="C20" s="807"/>
      <c r="D20" s="805" t="s">
        <v>831</v>
      </c>
      <c r="E20" s="806">
        <v>4070</v>
      </c>
      <c r="F20" s="802"/>
      <c r="I20" s="791" t="s">
        <v>110</v>
      </c>
    </row>
    <row r="21" spans="2:9" x14ac:dyDescent="0.2">
      <c r="B21" s="803" t="s">
        <v>110</v>
      </c>
      <c r="C21" s="807" t="s">
        <v>110</v>
      </c>
      <c r="D21" s="805" t="s">
        <v>832</v>
      </c>
      <c r="E21" s="806">
        <v>47933</v>
      </c>
      <c r="F21" s="802"/>
    </row>
    <row r="22" spans="2:9" x14ac:dyDescent="0.2">
      <c r="B22" s="803"/>
      <c r="C22" s="804"/>
      <c r="D22" s="805" t="s">
        <v>833</v>
      </c>
      <c r="E22" s="806">
        <v>1982</v>
      </c>
      <c r="F22" s="802"/>
    </row>
    <row r="23" spans="2:9" x14ac:dyDescent="0.2">
      <c r="B23" s="803"/>
      <c r="C23" s="804"/>
      <c r="D23" s="805" t="s">
        <v>834</v>
      </c>
      <c r="E23" s="806">
        <v>6481</v>
      </c>
      <c r="F23" s="802"/>
    </row>
    <row r="24" spans="2:9" x14ac:dyDescent="0.2">
      <c r="B24" s="803"/>
      <c r="C24" s="807"/>
      <c r="D24" s="805" t="s">
        <v>835</v>
      </c>
      <c r="E24" s="806">
        <v>6222</v>
      </c>
      <c r="F24" s="802"/>
    </row>
    <row r="25" spans="2:9" x14ac:dyDescent="0.2">
      <c r="B25" s="803"/>
      <c r="C25" s="804"/>
      <c r="D25" s="805" t="s">
        <v>836</v>
      </c>
      <c r="E25" s="806">
        <v>9089</v>
      </c>
      <c r="F25" s="802"/>
    </row>
    <row r="26" spans="2:9" x14ac:dyDescent="0.2">
      <c r="B26" s="803"/>
      <c r="C26" s="807"/>
      <c r="D26" s="805" t="s">
        <v>837</v>
      </c>
      <c r="E26" s="806">
        <v>538</v>
      </c>
      <c r="F26" s="802"/>
    </row>
    <row r="27" spans="2:9" x14ac:dyDescent="0.2">
      <c r="B27" s="803"/>
      <c r="C27" s="807"/>
      <c r="D27" s="805" t="s">
        <v>838</v>
      </c>
      <c r="E27" s="806">
        <v>729</v>
      </c>
      <c r="F27" s="802"/>
    </row>
    <row r="28" spans="2:9" x14ac:dyDescent="0.2">
      <c r="B28" s="803"/>
      <c r="C28" s="807"/>
      <c r="D28" s="805" t="s">
        <v>839</v>
      </c>
      <c r="E28" s="806">
        <f>450+21863</f>
        <v>22313</v>
      </c>
      <c r="F28" s="802"/>
    </row>
    <row r="29" spans="2:9" x14ac:dyDescent="0.2">
      <c r="B29" s="803"/>
      <c r="C29" s="807"/>
      <c r="D29" s="805" t="s">
        <v>840</v>
      </c>
      <c r="E29" s="806">
        <v>22728</v>
      </c>
      <c r="F29" s="802"/>
    </row>
    <row r="30" spans="2:9" x14ac:dyDescent="0.2">
      <c r="B30" s="803"/>
      <c r="C30" s="807"/>
      <c r="D30" s="805" t="s">
        <v>841</v>
      </c>
      <c r="E30" s="806">
        <v>17603</v>
      </c>
      <c r="F30" s="802"/>
    </row>
    <row r="31" spans="2:9" x14ac:dyDescent="0.2">
      <c r="B31" s="803"/>
      <c r="C31" s="804"/>
      <c r="D31" s="805" t="s">
        <v>842</v>
      </c>
      <c r="E31" s="806">
        <v>1126</v>
      </c>
      <c r="F31" s="802"/>
    </row>
    <row r="32" spans="2:9" x14ac:dyDescent="0.2">
      <c r="B32" s="803"/>
      <c r="C32" s="804"/>
      <c r="D32" s="805" t="s">
        <v>843</v>
      </c>
      <c r="E32" s="806">
        <v>10907</v>
      </c>
      <c r="F32" s="802"/>
    </row>
    <row r="33" spans="2:7" x14ac:dyDescent="0.2">
      <c r="B33" s="803"/>
      <c r="C33" s="807"/>
      <c r="D33" s="805" t="s">
        <v>844</v>
      </c>
      <c r="E33" s="806">
        <v>30809</v>
      </c>
      <c r="F33" s="802"/>
    </row>
    <row r="34" spans="2:7" s="792" customFormat="1" ht="24.75" customHeight="1" thickBot="1" x14ac:dyDescent="0.3">
      <c r="B34" s="808"/>
      <c r="C34" s="809">
        <f>SUM(C19:C31)</f>
        <v>488825</v>
      </c>
      <c r="D34" s="810"/>
      <c r="E34" s="811">
        <f>SUM(E19:E33)</f>
        <v>214565</v>
      </c>
      <c r="F34" s="812">
        <f>C34-E34</f>
        <v>274260</v>
      </c>
      <c r="G34" s="792" t="s">
        <v>110</v>
      </c>
    </row>
    <row r="35" spans="2:7" ht="18.75" customHeight="1" x14ac:dyDescent="0.25">
      <c r="B35" s="798" t="s">
        <v>845</v>
      </c>
      <c r="C35" s="814"/>
      <c r="D35" s="805"/>
      <c r="E35" s="806"/>
      <c r="F35" s="815"/>
    </row>
    <row r="36" spans="2:7" x14ac:dyDescent="0.2">
      <c r="B36" s="803" t="s">
        <v>846</v>
      </c>
      <c r="C36" s="804">
        <v>493187</v>
      </c>
      <c r="D36" s="805" t="s">
        <v>847</v>
      </c>
      <c r="E36" s="806">
        <v>9851</v>
      </c>
      <c r="F36" s="802"/>
      <c r="G36" s="791" t="s">
        <v>110</v>
      </c>
    </row>
    <row r="37" spans="2:7" x14ac:dyDescent="0.2">
      <c r="B37" s="803" t="s">
        <v>848</v>
      </c>
      <c r="C37" s="804">
        <v>-28127</v>
      </c>
      <c r="D37" s="805" t="s">
        <v>849</v>
      </c>
      <c r="E37" s="806">
        <v>19307</v>
      </c>
      <c r="F37" s="802"/>
    </row>
    <row r="38" spans="2:7" x14ac:dyDescent="0.2">
      <c r="B38" s="803" t="s">
        <v>110</v>
      </c>
      <c r="C38" s="807" t="s">
        <v>110</v>
      </c>
      <c r="D38" s="805" t="s">
        <v>850</v>
      </c>
      <c r="E38" s="806">
        <v>15266</v>
      </c>
      <c r="F38" s="802"/>
      <c r="G38" s="791" t="s">
        <v>110</v>
      </c>
    </row>
    <row r="39" spans="2:7" x14ac:dyDescent="0.2">
      <c r="B39" s="803"/>
      <c r="C39" s="807"/>
      <c r="D39" s="805" t="s">
        <v>851</v>
      </c>
      <c r="E39" s="806">
        <v>30965</v>
      </c>
      <c r="F39" s="802"/>
      <c r="G39" s="816" t="s">
        <v>110</v>
      </c>
    </row>
    <row r="40" spans="2:7" x14ac:dyDescent="0.2">
      <c r="B40" s="803"/>
      <c r="C40" s="807"/>
      <c r="D40" s="805" t="s">
        <v>835</v>
      </c>
      <c r="E40" s="806">
        <v>113</v>
      </c>
      <c r="F40" s="802"/>
    </row>
    <row r="41" spans="2:7" x14ac:dyDescent="0.2">
      <c r="B41" s="803"/>
      <c r="C41" s="807"/>
      <c r="D41" s="805" t="s">
        <v>852</v>
      </c>
      <c r="E41" s="806">
        <f>18500+69022</f>
        <v>87522</v>
      </c>
      <c r="F41" s="802"/>
    </row>
    <row r="42" spans="2:7" x14ac:dyDescent="0.2">
      <c r="B42" s="803"/>
      <c r="C42" s="807"/>
      <c r="D42" s="805" t="s">
        <v>853</v>
      </c>
      <c r="E42" s="806">
        <f>26681+18717</f>
        <v>45398</v>
      </c>
      <c r="F42" s="802"/>
    </row>
    <row r="43" spans="2:7" x14ac:dyDescent="0.2">
      <c r="B43" s="803"/>
      <c r="C43" s="807"/>
      <c r="D43" s="805" t="s">
        <v>839</v>
      </c>
      <c r="E43" s="806">
        <f>200+41364+3500</f>
        <v>45064</v>
      </c>
      <c r="F43" s="802"/>
    </row>
    <row r="44" spans="2:7" x14ac:dyDescent="0.2">
      <c r="B44" s="803"/>
      <c r="C44" s="807"/>
      <c r="D44" s="805" t="s">
        <v>840</v>
      </c>
      <c r="E44" s="806">
        <v>44264</v>
      </c>
      <c r="F44" s="802"/>
    </row>
    <row r="45" spans="2:7" x14ac:dyDescent="0.2">
      <c r="B45" s="803"/>
      <c r="C45" s="807"/>
      <c r="D45" s="805" t="s">
        <v>854</v>
      </c>
      <c r="E45" s="806">
        <f>24875+383+1163</f>
        <v>26421</v>
      </c>
      <c r="F45" s="802"/>
    </row>
    <row r="46" spans="2:7" x14ac:dyDescent="0.2">
      <c r="B46" s="803"/>
      <c r="C46" s="807"/>
      <c r="D46" s="805" t="s">
        <v>855</v>
      </c>
      <c r="E46" s="806">
        <v>960</v>
      </c>
      <c r="F46" s="802"/>
    </row>
    <row r="47" spans="2:7" x14ac:dyDescent="0.2">
      <c r="B47" s="803"/>
      <c r="C47" s="807"/>
      <c r="D47" s="805" t="s">
        <v>856</v>
      </c>
      <c r="E47" s="806">
        <v>4527</v>
      </c>
      <c r="F47" s="802"/>
    </row>
    <row r="48" spans="2:7" s="792" customFormat="1" ht="21.75" customHeight="1" thickBot="1" x14ac:dyDescent="0.3">
      <c r="B48" s="808"/>
      <c r="C48" s="809">
        <f>SUM(C36:C47)</f>
        <v>465060</v>
      </c>
      <c r="D48" s="810"/>
      <c r="E48" s="811">
        <f>SUM(E36:E47)</f>
        <v>329658</v>
      </c>
      <c r="F48" s="812">
        <f>F34+C48-E48</f>
        <v>409662</v>
      </c>
      <c r="G48" s="817" t="s">
        <v>110</v>
      </c>
    </row>
    <row r="49" spans="2:7" ht="15.95" customHeight="1" x14ac:dyDescent="0.25">
      <c r="B49" s="798" t="s">
        <v>857</v>
      </c>
      <c r="C49" s="806"/>
      <c r="D49" s="818" t="s">
        <v>858</v>
      </c>
      <c r="E49" s="806">
        <v>133269</v>
      </c>
      <c r="F49" s="802"/>
      <c r="G49" s="791" t="s">
        <v>110</v>
      </c>
    </row>
    <row r="50" spans="2:7" ht="15.95" customHeight="1" x14ac:dyDescent="0.2">
      <c r="B50" s="803" t="s">
        <v>846</v>
      </c>
      <c r="C50" s="804">
        <v>193170</v>
      </c>
      <c r="D50" s="805" t="s">
        <v>859</v>
      </c>
      <c r="E50" s="806">
        <v>525</v>
      </c>
      <c r="F50" s="802"/>
      <c r="G50" s="816" t="s">
        <v>110</v>
      </c>
    </row>
    <row r="51" spans="2:7" ht="15.95" customHeight="1" x14ac:dyDescent="0.2">
      <c r="B51" s="803" t="s">
        <v>848</v>
      </c>
      <c r="C51" s="804">
        <v>-4770</v>
      </c>
      <c r="D51" s="805" t="s">
        <v>860</v>
      </c>
      <c r="E51" s="806">
        <v>140734</v>
      </c>
      <c r="F51" s="802"/>
    </row>
    <row r="52" spans="2:7" ht="15.95" customHeight="1" x14ac:dyDescent="0.2">
      <c r="B52" s="803"/>
      <c r="C52" s="807"/>
      <c r="D52" s="805" t="s">
        <v>861</v>
      </c>
      <c r="E52" s="806">
        <v>406</v>
      </c>
      <c r="F52" s="802"/>
    </row>
    <row r="53" spans="2:7" ht="15.95" customHeight="1" x14ac:dyDescent="0.2">
      <c r="B53" s="803" t="s">
        <v>862</v>
      </c>
      <c r="C53" s="804">
        <v>5312</v>
      </c>
      <c r="D53" s="805" t="s">
        <v>863</v>
      </c>
      <c r="E53" s="806">
        <v>375</v>
      </c>
      <c r="F53" s="802"/>
    </row>
    <row r="54" spans="2:7" ht="15.95" customHeight="1" x14ac:dyDescent="0.2">
      <c r="B54" s="803"/>
      <c r="C54" s="807"/>
      <c r="D54" s="805" t="s">
        <v>864</v>
      </c>
      <c r="E54" s="806">
        <f>10759+332</f>
        <v>11091</v>
      </c>
      <c r="F54" s="802"/>
    </row>
    <row r="55" spans="2:7" ht="15.95" customHeight="1" x14ac:dyDescent="0.2">
      <c r="B55" s="803"/>
      <c r="C55" s="807"/>
      <c r="D55" s="805" t="s">
        <v>865</v>
      </c>
      <c r="E55" s="806">
        <v>4187</v>
      </c>
      <c r="F55" s="802"/>
    </row>
    <row r="56" spans="2:7" ht="15.95" customHeight="1" x14ac:dyDescent="0.2">
      <c r="B56" s="803"/>
      <c r="C56" s="807"/>
      <c r="D56" s="805" t="s">
        <v>866</v>
      </c>
      <c r="E56" s="806">
        <v>128635</v>
      </c>
      <c r="F56" s="802"/>
    </row>
    <row r="57" spans="2:7" ht="20.100000000000001" customHeight="1" thickBot="1" x14ac:dyDescent="0.3">
      <c r="B57" s="808"/>
      <c r="C57" s="809">
        <f>SUM(C50:C56)</f>
        <v>193712</v>
      </c>
      <c r="D57" s="810"/>
      <c r="E57" s="811">
        <f>SUM(E49:E56)</f>
        <v>419222</v>
      </c>
      <c r="F57" s="812">
        <f>F48+C57-E57</f>
        <v>184152</v>
      </c>
    </row>
    <row r="58" spans="2:7" ht="15.95" customHeight="1" x14ac:dyDescent="0.25">
      <c r="B58" s="798" t="s">
        <v>867</v>
      </c>
      <c r="C58" s="806"/>
      <c r="D58" s="818" t="s">
        <v>868</v>
      </c>
      <c r="E58" s="806">
        <v>4152</v>
      </c>
      <c r="F58" s="815" t="s">
        <v>110</v>
      </c>
    </row>
    <row r="59" spans="2:7" ht="15.95" customHeight="1" x14ac:dyDescent="0.2">
      <c r="B59" s="803" t="s">
        <v>846</v>
      </c>
      <c r="C59" s="819">
        <v>200124</v>
      </c>
      <c r="D59" s="805" t="s">
        <v>869</v>
      </c>
      <c r="E59" s="806">
        <v>1408</v>
      </c>
      <c r="F59" s="802"/>
    </row>
    <row r="60" spans="2:7" ht="15.95" customHeight="1" x14ac:dyDescent="0.2">
      <c r="B60" s="803" t="s">
        <v>848</v>
      </c>
      <c r="C60" s="819">
        <v>-345</v>
      </c>
      <c r="D60" s="805" t="s">
        <v>860</v>
      </c>
      <c r="E60" s="806">
        <v>65692</v>
      </c>
      <c r="F60" s="802"/>
    </row>
    <row r="61" spans="2:7" ht="15.95" customHeight="1" x14ac:dyDescent="0.2">
      <c r="B61" s="803" t="s">
        <v>110</v>
      </c>
      <c r="C61" s="819"/>
      <c r="D61" s="805" t="s">
        <v>870</v>
      </c>
      <c r="E61" s="806">
        <v>14958</v>
      </c>
      <c r="F61" s="802"/>
    </row>
    <row r="62" spans="2:7" ht="15.95" customHeight="1" x14ac:dyDescent="0.2">
      <c r="B62" s="820" t="s">
        <v>862</v>
      </c>
      <c r="C62" s="819">
        <v>5731</v>
      </c>
      <c r="D62" s="805" t="s">
        <v>871</v>
      </c>
      <c r="E62" s="806">
        <v>12874</v>
      </c>
      <c r="F62" s="802"/>
    </row>
    <row r="63" spans="2:7" ht="15.95" customHeight="1" x14ac:dyDescent="0.2">
      <c r="B63" s="803" t="s">
        <v>110</v>
      </c>
      <c r="C63" s="819"/>
      <c r="D63" s="805" t="s">
        <v>872</v>
      </c>
      <c r="E63" s="806">
        <v>20264</v>
      </c>
      <c r="F63" s="802"/>
    </row>
    <row r="64" spans="2:7" ht="15.95" customHeight="1" x14ac:dyDescent="0.2">
      <c r="B64" s="803"/>
      <c r="C64" s="819"/>
      <c r="D64" s="805" t="s">
        <v>873</v>
      </c>
      <c r="E64" s="806">
        <v>66482</v>
      </c>
      <c r="F64" s="802"/>
    </row>
    <row r="65" spans="2:7" ht="20.100000000000001" customHeight="1" thickBot="1" x14ac:dyDescent="0.3">
      <c r="B65" s="808"/>
      <c r="C65" s="821">
        <f>SUM(C58:C64)</f>
        <v>205510</v>
      </c>
      <c r="D65" s="810"/>
      <c r="E65" s="811">
        <f>SUM(E58:E64)</f>
        <v>185830</v>
      </c>
      <c r="F65" s="812">
        <f>F57+C65-E65</f>
        <v>203832</v>
      </c>
    </row>
    <row r="66" spans="2:7" ht="15.95" customHeight="1" x14ac:dyDescent="0.25">
      <c r="B66" s="798" t="s">
        <v>874</v>
      </c>
      <c r="C66" s="822"/>
      <c r="D66" s="818" t="s">
        <v>873</v>
      </c>
      <c r="E66" s="806">
        <f>44950+117070</f>
        <v>162020</v>
      </c>
      <c r="F66" s="802"/>
    </row>
    <row r="67" spans="2:7" ht="15.95" customHeight="1" x14ac:dyDescent="0.2">
      <c r="B67" s="803" t="s">
        <v>875</v>
      </c>
      <c r="C67" s="819">
        <v>141152</v>
      </c>
      <c r="D67" s="805" t="s">
        <v>860</v>
      </c>
      <c r="E67" s="806">
        <v>66926</v>
      </c>
      <c r="F67" s="802"/>
    </row>
    <row r="68" spans="2:7" ht="15.95" customHeight="1" x14ac:dyDescent="0.2">
      <c r="B68" s="803" t="s">
        <v>876</v>
      </c>
      <c r="C68" s="819">
        <v>93279</v>
      </c>
      <c r="D68" s="805" t="s">
        <v>877</v>
      </c>
      <c r="E68" s="806">
        <v>17229</v>
      </c>
      <c r="F68" s="802"/>
    </row>
    <row r="69" spans="2:7" ht="15.95" customHeight="1" x14ac:dyDescent="0.2">
      <c r="B69" s="803"/>
      <c r="C69" s="819"/>
      <c r="D69" s="805" t="s">
        <v>878</v>
      </c>
      <c r="E69" s="806">
        <f>4000+842+8600+169+10926</f>
        <v>24537</v>
      </c>
      <c r="F69" s="802"/>
    </row>
    <row r="70" spans="2:7" ht="20.100000000000001" customHeight="1" thickBot="1" x14ac:dyDescent="0.3">
      <c r="B70" s="808"/>
      <c r="C70" s="821">
        <f>SUM(C67:C69)</f>
        <v>234431</v>
      </c>
      <c r="D70" s="810"/>
      <c r="E70" s="811">
        <f>SUM(E66:E69)</f>
        <v>270712</v>
      </c>
      <c r="F70" s="812">
        <f>F65+C70-E70</f>
        <v>167551</v>
      </c>
    </row>
    <row r="71" spans="2:7" s="792" customFormat="1" ht="37.5" customHeight="1" thickBot="1" x14ac:dyDescent="0.3">
      <c r="B71" s="793" t="s">
        <v>815</v>
      </c>
      <c r="C71" s="794" t="s">
        <v>816</v>
      </c>
      <c r="D71" s="795" t="s">
        <v>817</v>
      </c>
      <c r="E71" s="796" t="s">
        <v>818</v>
      </c>
      <c r="F71" s="797" t="s">
        <v>819</v>
      </c>
      <c r="G71" s="817"/>
    </row>
    <row r="72" spans="2:7" ht="15.95" customHeight="1" x14ac:dyDescent="0.25">
      <c r="B72" s="823" t="s">
        <v>879</v>
      </c>
      <c r="C72" s="824"/>
      <c r="D72" s="825" t="s">
        <v>873</v>
      </c>
      <c r="E72" s="826">
        <v>139680</v>
      </c>
      <c r="F72" s="827"/>
    </row>
    <row r="73" spans="2:7" ht="15.95" customHeight="1" x14ac:dyDescent="0.2">
      <c r="B73" s="803" t="s">
        <v>875</v>
      </c>
      <c r="C73" s="819">
        <v>133061</v>
      </c>
      <c r="D73" s="805" t="s">
        <v>880</v>
      </c>
      <c r="E73" s="806">
        <v>1612</v>
      </c>
      <c r="F73" s="802"/>
    </row>
    <row r="74" spans="2:7" ht="15.95" customHeight="1" x14ac:dyDescent="0.2">
      <c r="B74" s="803"/>
      <c r="C74" s="819"/>
      <c r="D74" s="805" t="s">
        <v>860</v>
      </c>
      <c r="E74" s="806">
        <f>14300+69001</f>
        <v>83301</v>
      </c>
      <c r="F74" s="802"/>
    </row>
    <row r="75" spans="2:7" ht="15.95" customHeight="1" x14ac:dyDescent="0.2">
      <c r="B75" s="803" t="s">
        <v>876</v>
      </c>
      <c r="C75" s="819">
        <v>116625</v>
      </c>
      <c r="D75" s="805" t="s">
        <v>877</v>
      </c>
      <c r="E75" s="806">
        <v>14221</v>
      </c>
      <c r="F75" s="802"/>
    </row>
    <row r="76" spans="2:7" x14ac:dyDescent="0.2">
      <c r="B76" s="803"/>
      <c r="C76" s="819"/>
      <c r="D76" s="805" t="s">
        <v>878</v>
      </c>
      <c r="E76" s="806">
        <v>9144</v>
      </c>
      <c r="F76" s="802"/>
    </row>
    <row r="77" spans="2:7" ht="20.100000000000001" customHeight="1" thickBot="1" x14ac:dyDescent="0.3">
      <c r="B77" s="808"/>
      <c r="C77" s="821">
        <f>SUM(C73:C76)</f>
        <v>249686</v>
      </c>
      <c r="D77" s="810"/>
      <c r="E77" s="811">
        <f>SUM(E72:E76)</f>
        <v>247958</v>
      </c>
      <c r="F77" s="812">
        <f>F70+C77-E77</f>
        <v>169279</v>
      </c>
    </row>
    <row r="78" spans="2:7" ht="15.95" customHeight="1" x14ac:dyDescent="0.25">
      <c r="B78" s="823" t="s">
        <v>881</v>
      </c>
      <c r="C78" s="824"/>
      <c r="D78" s="825" t="s">
        <v>873</v>
      </c>
      <c r="E78" s="826">
        <v>96430</v>
      </c>
      <c r="F78" s="827"/>
    </row>
    <row r="79" spans="2:7" ht="15.95" customHeight="1" x14ac:dyDescent="0.2">
      <c r="B79" s="803" t="s">
        <v>875</v>
      </c>
      <c r="C79" s="819">
        <v>83899</v>
      </c>
      <c r="D79" s="805" t="s">
        <v>880</v>
      </c>
      <c r="E79" s="806">
        <v>1263</v>
      </c>
      <c r="F79" s="802"/>
    </row>
    <row r="80" spans="2:7" ht="15.95" customHeight="1" x14ac:dyDescent="0.2">
      <c r="B80" s="803"/>
      <c r="C80" s="819"/>
      <c r="D80" s="805" t="s">
        <v>882</v>
      </c>
      <c r="E80" s="806">
        <v>53368</v>
      </c>
      <c r="F80" s="802"/>
    </row>
    <row r="81" spans="2:12" ht="15.95" customHeight="1" x14ac:dyDescent="0.2">
      <c r="B81" s="803" t="s">
        <v>876</v>
      </c>
      <c r="C81" s="819">
        <v>117221</v>
      </c>
      <c r="D81" s="805" t="s">
        <v>883</v>
      </c>
      <c r="E81" s="806">
        <v>81240</v>
      </c>
      <c r="F81" s="802"/>
    </row>
    <row r="82" spans="2:12" ht="15.95" customHeight="1" x14ac:dyDescent="0.2">
      <c r="B82" s="828"/>
      <c r="C82" s="819"/>
      <c r="D82" s="805" t="s">
        <v>877</v>
      </c>
      <c r="E82" s="806">
        <v>15709</v>
      </c>
      <c r="F82" s="802"/>
    </row>
    <row r="83" spans="2:12" ht="15.95" customHeight="1" x14ac:dyDescent="0.2">
      <c r="B83" s="803"/>
      <c r="C83" s="819"/>
      <c r="D83" s="805" t="s">
        <v>884</v>
      </c>
      <c r="E83" s="806">
        <v>5701</v>
      </c>
      <c r="F83" s="802"/>
    </row>
    <row r="84" spans="2:12" ht="20.100000000000001" customHeight="1" thickBot="1" x14ac:dyDescent="0.3">
      <c r="B84" s="808"/>
      <c r="C84" s="821">
        <f>SUM(C79:C83)</f>
        <v>201120</v>
      </c>
      <c r="D84" s="810"/>
      <c r="E84" s="811">
        <f>SUM(E78:E83)</f>
        <v>253711</v>
      </c>
      <c r="F84" s="812">
        <f>F77+C84-E84</f>
        <v>116688</v>
      </c>
    </row>
    <row r="85" spans="2:12" ht="15.95" customHeight="1" x14ac:dyDescent="0.25">
      <c r="B85" s="823" t="s">
        <v>885</v>
      </c>
      <c r="C85" s="824"/>
      <c r="D85" s="825" t="s">
        <v>873</v>
      </c>
      <c r="E85" s="826">
        <v>107592</v>
      </c>
      <c r="F85" s="827"/>
    </row>
    <row r="86" spans="2:12" ht="15.95" customHeight="1" x14ac:dyDescent="0.2">
      <c r="B86" s="803" t="s">
        <v>875</v>
      </c>
      <c r="C86" s="819">
        <f>47847+375359</f>
        <v>423206</v>
      </c>
      <c r="D86" s="805" t="s">
        <v>880</v>
      </c>
      <c r="E86" s="806">
        <v>1085</v>
      </c>
      <c r="F86" s="802"/>
      <c r="H86" s="805"/>
      <c r="I86" s="805"/>
      <c r="J86" s="805"/>
      <c r="K86" s="805"/>
      <c r="L86" s="805"/>
    </row>
    <row r="87" spans="2:12" ht="15.95" customHeight="1" x14ac:dyDescent="0.2">
      <c r="B87" s="803"/>
      <c r="C87" s="819"/>
      <c r="D87" s="805" t="s">
        <v>882</v>
      </c>
      <c r="E87" s="806">
        <v>55184</v>
      </c>
      <c r="F87" s="802"/>
      <c r="H87" s="805"/>
      <c r="I87" s="805"/>
      <c r="J87" s="805"/>
      <c r="K87" s="805"/>
      <c r="L87" s="805"/>
    </row>
    <row r="88" spans="2:12" ht="15.95" customHeight="1" x14ac:dyDescent="0.2">
      <c r="B88" s="803" t="s">
        <v>876</v>
      </c>
      <c r="C88" s="819">
        <v>156276</v>
      </c>
      <c r="D88" s="805" t="s">
        <v>886</v>
      </c>
      <c r="E88" s="806">
        <f>385641+36610-220707</f>
        <v>201544</v>
      </c>
      <c r="F88" s="802"/>
      <c r="H88" s="805"/>
      <c r="I88" s="805"/>
      <c r="J88" s="805"/>
      <c r="K88" s="805"/>
      <c r="L88" s="805"/>
    </row>
    <row r="89" spans="2:12" ht="15.95" customHeight="1" x14ac:dyDescent="0.2">
      <c r="B89" s="803"/>
      <c r="C89" s="822"/>
      <c r="D89" s="829" t="s">
        <v>877</v>
      </c>
      <c r="E89" s="806">
        <v>10566</v>
      </c>
      <c r="F89" s="802"/>
      <c r="H89" s="805"/>
      <c r="I89" s="805"/>
      <c r="J89" s="805"/>
      <c r="K89" s="805"/>
      <c r="L89" s="805"/>
    </row>
    <row r="90" spans="2:12" ht="15.95" customHeight="1" x14ac:dyDescent="0.2">
      <c r="B90" s="803"/>
      <c r="C90" s="819"/>
      <c r="D90" s="805" t="s">
        <v>884</v>
      </c>
      <c r="E90" s="806">
        <v>5926</v>
      </c>
      <c r="F90" s="802"/>
      <c r="H90" s="805"/>
      <c r="I90" s="805"/>
      <c r="J90" s="805"/>
      <c r="K90" s="805"/>
      <c r="L90" s="805"/>
    </row>
    <row r="91" spans="2:12" ht="20.100000000000001" customHeight="1" thickBot="1" x14ac:dyDescent="0.3">
      <c r="B91" s="808"/>
      <c r="C91" s="821">
        <f>SUM(C86:C90)</f>
        <v>579482</v>
      </c>
      <c r="D91" s="810"/>
      <c r="E91" s="811">
        <f>SUM(E85:E90)</f>
        <v>381897</v>
      </c>
      <c r="F91" s="812">
        <f>F84+C91-E91</f>
        <v>314273</v>
      </c>
      <c r="H91" s="805"/>
      <c r="I91" s="805"/>
      <c r="J91" s="805"/>
      <c r="K91" s="805"/>
      <c r="L91" s="805"/>
    </row>
    <row r="92" spans="2:12" ht="15.95" customHeight="1" x14ac:dyDescent="0.25">
      <c r="B92" s="798" t="s">
        <v>887</v>
      </c>
      <c r="C92" s="819"/>
      <c r="D92" s="805" t="s">
        <v>873</v>
      </c>
      <c r="E92" s="806">
        <v>90541</v>
      </c>
      <c r="F92" s="802"/>
      <c r="H92" s="805"/>
      <c r="I92" s="805"/>
      <c r="J92" s="805"/>
      <c r="K92" s="805"/>
      <c r="L92" s="805"/>
    </row>
    <row r="93" spans="2:12" ht="15.95" customHeight="1" x14ac:dyDescent="0.2">
      <c r="B93" s="803" t="s">
        <v>875</v>
      </c>
      <c r="C93" s="819"/>
      <c r="D93" s="805" t="s">
        <v>880</v>
      </c>
      <c r="E93" s="806">
        <v>1085</v>
      </c>
      <c r="F93" s="802"/>
      <c r="H93" s="805"/>
      <c r="I93" s="805"/>
      <c r="J93" s="805"/>
      <c r="K93" s="805"/>
      <c r="L93" s="805"/>
    </row>
    <row r="94" spans="2:12" ht="15.95" customHeight="1" x14ac:dyDescent="0.2">
      <c r="B94" s="803"/>
      <c r="C94" s="819"/>
      <c r="D94" s="805" t="s">
        <v>882</v>
      </c>
      <c r="E94" s="806">
        <v>31851</v>
      </c>
      <c r="F94" s="802"/>
      <c r="H94" s="805"/>
      <c r="I94" s="805"/>
      <c r="J94" s="805"/>
      <c r="K94" s="805"/>
      <c r="L94" s="805"/>
    </row>
    <row r="95" spans="2:12" ht="15.95" customHeight="1" x14ac:dyDescent="0.2">
      <c r="B95" s="803" t="s">
        <v>876</v>
      </c>
      <c r="C95" s="819">
        <v>144167</v>
      </c>
      <c r="D95" s="805" t="s">
        <v>886</v>
      </c>
      <c r="E95" s="806">
        <v>53846</v>
      </c>
      <c r="F95" s="802"/>
      <c r="H95" s="805"/>
      <c r="I95" s="805"/>
      <c r="J95" s="805"/>
      <c r="K95" s="805"/>
      <c r="L95" s="805"/>
    </row>
    <row r="96" spans="2:12" ht="15.95" customHeight="1" x14ac:dyDescent="0.2">
      <c r="B96" s="828"/>
      <c r="C96" s="819"/>
      <c r="D96" s="805" t="s">
        <v>877</v>
      </c>
      <c r="E96" s="806">
        <v>635</v>
      </c>
      <c r="F96" s="802"/>
      <c r="H96" s="805"/>
      <c r="I96" s="805"/>
      <c r="J96" s="805"/>
      <c r="K96" s="805"/>
      <c r="L96" s="805"/>
    </row>
    <row r="97" spans="2:12" ht="15.95" customHeight="1" x14ac:dyDescent="0.2">
      <c r="B97" s="803"/>
      <c r="C97" s="819"/>
      <c r="D97" s="805" t="s">
        <v>884</v>
      </c>
      <c r="E97" s="806"/>
      <c r="F97" s="802"/>
      <c r="H97" s="805"/>
      <c r="I97" s="805"/>
      <c r="J97" s="805"/>
      <c r="K97" s="805"/>
      <c r="L97" s="805"/>
    </row>
    <row r="98" spans="2:12" ht="20.100000000000001" customHeight="1" thickBot="1" x14ac:dyDescent="0.3">
      <c r="B98" s="808"/>
      <c r="C98" s="821">
        <f>SUM(C93:C97)</f>
        <v>144167</v>
      </c>
      <c r="D98" s="810"/>
      <c r="E98" s="811">
        <f>SUM(E92:E97)</f>
        <v>177958</v>
      </c>
      <c r="F98" s="812">
        <f>F91+C98-E98</f>
        <v>280482</v>
      </c>
      <c r="H98" s="805"/>
      <c r="I98" s="805"/>
      <c r="J98" s="805"/>
      <c r="K98" s="805"/>
      <c r="L98" s="805"/>
    </row>
    <row r="99" spans="2:12" ht="15.95" customHeight="1" x14ac:dyDescent="0.25">
      <c r="B99" s="798" t="s">
        <v>888</v>
      </c>
      <c r="C99" s="819"/>
      <c r="D99" s="805" t="s">
        <v>873</v>
      </c>
      <c r="E99" s="806">
        <v>65050</v>
      </c>
      <c r="F99" s="802"/>
      <c r="H99" s="805"/>
      <c r="I99" s="805"/>
      <c r="J99" s="805"/>
      <c r="K99" s="805"/>
      <c r="L99" s="805"/>
    </row>
    <row r="100" spans="2:12" ht="15.95" customHeight="1" x14ac:dyDescent="0.2">
      <c r="B100" s="803" t="s">
        <v>875</v>
      </c>
      <c r="C100" s="819"/>
      <c r="D100" s="805" t="s">
        <v>880</v>
      </c>
      <c r="E100" s="806">
        <v>1085</v>
      </c>
      <c r="F100" s="802"/>
      <c r="H100" s="805"/>
      <c r="I100" s="805"/>
      <c r="J100" s="805"/>
      <c r="K100" s="805"/>
      <c r="L100" s="805"/>
    </row>
    <row r="101" spans="2:12" ht="15.95" customHeight="1" x14ac:dyDescent="0.2">
      <c r="B101" s="803"/>
      <c r="C101" s="819"/>
      <c r="D101" s="805" t="s">
        <v>882</v>
      </c>
      <c r="E101" s="806">
        <v>65231</v>
      </c>
      <c r="F101" s="802"/>
      <c r="H101" s="805"/>
      <c r="I101" s="805"/>
      <c r="J101" s="805"/>
      <c r="K101" s="805"/>
      <c r="L101" s="805"/>
    </row>
    <row r="102" spans="2:12" ht="15.95" customHeight="1" x14ac:dyDescent="0.2">
      <c r="B102" s="803" t="s">
        <v>876</v>
      </c>
      <c r="C102" s="819">
        <v>117418</v>
      </c>
      <c r="D102" s="805" t="s">
        <v>889</v>
      </c>
      <c r="E102" s="806">
        <v>87849</v>
      </c>
      <c r="F102" s="802"/>
      <c r="H102" s="805"/>
      <c r="I102" s="805"/>
      <c r="J102" s="805"/>
      <c r="K102" s="805"/>
      <c r="L102" s="805"/>
    </row>
    <row r="103" spans="2:12" ht="15.95" customHeight="1" x14ac:dyDescent="0.2">
      <c r="B103" s="828"/>
      <c r="C103" s="819"/>
      <c r="D103" s="805" t="s">
        <v>890</v>
      </c>
      <c r="E103" s="805">
        <v>4500</v>
      </c>
      <c r="F103" s="802"/>
      <c r="H103" s="805"/>
      <c r="I103" s="805"/>
      <c r="J103" s="805"/>
      <c r="K103" s="805"/>
      <c r="L103" s="805"/>
    </row>
    <row r="104" spans="2:12" ht="15.95" customHeight="1" x14ac:dyDescent="0.2">
      <c r="B104" s="803"/>
      <c r="C104" s="819"/>
      <c r="D104" s="829" t="s">
        <v>877</v>
      </c>
      <c r="E104" s="806">
        <v>638</v>
      </c>
      <c r="F104" s="802"/>
      <c r="H104" s="805"/>
      <c r="I104" s="805"/>
      <c r="J104" s="805"/>
      <c r="K104" s="805"/>
      <c r="L104" s="805"/>
    </row>
    <row r="105" spans="2:12" ht="15.95" customHeight="1" x14ac:dyDescent="0.25">
      <c r="B105" s="803"/>
      <c r="C105" s="819"/>
      <c r="D105" s="627" t="s">
        <v>891</v>
      </c>
      <c r="E105" s="801">
        <v>9971</v>
      </c>
      <c r="F105" s="802"/>
      <c r="H105" s="805"/>
      <c r="I105" s="805"/>
      <c r="J105" s="805"/>
      <c r="K105" s="805"/>
      <c r="L105" s="805"/>
    </row>
    <row r="106" spans="2:12" ht="20.100000000000001" customHeight="1" thickBot="1" x14ac:dyDescent="0.3">
      <c r="B106" s="808"/>
      <c r="C106" s="821">
        <f>SUM(C100:C105)</f>
        <v>117418</v>
      </c>
      <c r="D106" s="810"/>
      <c r="E106" s="811">
        <f>SUM(E99:E105)</f>
        <v>234324</v>
      </c>
      <c r="F106" s="812">
        <f>F98+C106-E106</f>
        <v>163576</v>
      </c>
      <c r="H106" s="805"/>
      <c r="I106" s="805"/>
      <c r="J106" s="805"/>
      <c r="K106" s="805"/>
      <c r="L106" s="805"/>
    </row>
    <row r="107" spans="2:12" ht="15.95" customHeight="1" x14ac:dyDescent="0.25">
      <c r="B107" s="798" t="s">
        <v>892</v>
      </c>
      <c r="C107" s="819"/>
      <c r="D107" s="805" t="s">
        <v>873</v>
      </c>
      <c r="E107" s="806">
        <v>85080</v>
      </c>
      <c r="F107" s="802"/>
      <c r="H107" s="805"/>
      <c r="I107" s="805"/>
      <c r="J107" s="805"/>
      <c r="K107" s="805"/>
      <c r="L107" s="805"/>
    </row>
    <row r="108" spans="2:12" ht="15.95" customHeight="1" x14ac:dyDescent="0.2">
      <c r="B108" s="803" t="s">
        <v>875</v>
      </c>
      <c r="C108" s="819">
        <v>22826</v>
      </c>
      <c r="D108" s="805" t="s">
        <v>880</v>
      </c>
      <c r="E108" s="806">
        <v>1085</v>
      </c>
      <c r="F108" s="802"/>
      <c r="H108" s="805"/>
      <c r="I108" s="805"/>
      <c r="J108" s="805"/>
      <c r="K108" s="805"/>
      <c r="L108" s="805"/>
    </row>
    <row r="109" spans="2:12" ht="15.95" customHeight="1" x14ac:dyDescent="0.2">
      <c r="B109" s="803"/>
      <c r="C109" s="819"/>
      <c r="D109" s="805" t="s">
        <v>882</v>
      </c>
      <c r="E109" s="806">
        <v>53128</v>
      </c>
      <c r="F109" s="802"/>
      <c r="H109" s="805"/>
      <c r="I109" s="805"/>
      <c r="J109" s="805"/>
      <c r="K109" s="805"/>
      <c r="L109" s="805"/>
    </row>
    <row r="110" spans="2:12" ht="15.95" customHeight="1" x14ac:dyDescent="0.2">
      <c r="B110" s="803" t="s">
        <v>876</v>
      </c>
      <c r="C110" s="819">
        <v>114943</v>
      </c>
      <c r="D110" s="805" t="s">
        <v>893</v>
      </c>
      <c r="E110" s="806">
        <v>4849</v>
      </c>
      <c r="F110" s="802"/>
      <c r="H110" s="805"/>
      <c r="I110" s="805"/>
      <c r="J110" s="805"/>
      <c r="K110" s="805"/>
      <c r="L110" s="805"/>
    </row>
    <row r="111" spans="2:12" ht="15.95" customHeight="1" x14ac:dyDescent="0.2">
      <c r="B111" s="828"/>
      <c r="C111" s="819"/>
      <c r="D111" s="805" t="s">
        <v>890</v>
      </c>
      <c r="E111" s="806">
        <f>26500+42546</f>
        <v>69046</v>
      </c>
      <c r="F111" s="802"/>
      <c r="H111" s="805"/>
      <c r="I111" s="805"/>
      <c r="J111" s="805"/>
      <c r="K111" s="805"/>
      <c r="L111" s="805"/>
    </row>
    <row r="112" spans="2:12" ht="15.95" customHeight="1" x14ac:dyDescent="0.2">
      <c r="B112" s="803"/>
      <c r="C112" s="819"/>
      <c r="D112" s="805" t="s">
        <v>894</v>
      </c>
      <c r="E112" s="806">
        <v>792</v>
      </c>
      <c r="F112" s="802"/>
      <c r="H112" s="805"/>
      <c r="I112" s="805"/>
      <c r="J112" s="805"/>
      <c r="K112" s="805"/>
      <c r="L112" s="805"/>
    </row>
    <row r="113" spans="2:12" ht="15.95" customHeight="1" x14ac:dyDescent="0.25">
      <c r="B113" s="803"/>
      <c r="C113" s="819"/>
      <c r="D113" s="627" t="s">
        <v>891</v>
      </c>
      <c r="E113" s="801">
        <f>113+4233</f>
        <v>4346</v>
      </c>
      <c r="F113" s="802"/>
      <c r="H113" s="805"/>
      <c r="I113" s="805"/>
      <c r="J113" s="805"/>
      <c r="K113" s="805"/>
      <c r="L113" s="805"/>
    </row>
    <row r="114" spans="2:12" ht="20.100000000000001" customHeight="1" thickBot="1" x14ac:dyDescent="0.3">
      <c r="B114" s="808"/>
      <c r="C114" s="821">
        <f>SUM(C108:C113)</f>
        <v>137769</v>
      </c>
      <c r="D114" s="810"/>
      <c r="E114" s="811">
        <f>SUM(E107:E113)</f>
        <v>218326</v>
      </c>
      <c r="F114" s="812">
        <f>F106+C114-E114</f>
        <v>83019</v>
      </c>
      <c r="H114" s="805"/>
      <c r="I114" s="805"/>
      <c r="J114" s="805"/>
      <c r="K114" s="805"/>
      <c r="L114" s="805"/>
    </row>
    <row r="115" spans="2:12" ht="15.75" x14ac:dyDescent="0.25">
      <c r="B115" s="798" t="s">
        <v>895</v>
      </c>
      <c r="C115" s="819"/>
      <c r="D115" s="805" t="s">
        <v>873</v>
      </c>
      <c r="E115" s="806">
        <v>68260</v>
      </c>
      <c r="F115" s="802"/>
      <c r="H115" s="805"/>
      <c r="I115" s="805"/>
      <c r="J115" s="805"/>
      <c r="K115" s="805"/>
      <c r="L115" s="805"/>
    </row>
    <row r="116" spans="2:12" x14ac:dyDescent="0.2">
      <c r="B116" s="803" t="s">
        <v>875</v>
      </c>
      <c r="C116" s="830"/>
      <c r="D116" s="805" t="s">
        <v>880</v>
      </c>
      <c r="E116" s="831">
        <v>1085</v>
      </c>
      <c r="F116" s="802"/>
    </row>
    <row r="117" spans="2:12" x14ac:dyDescent="0.2">
      <c r="B117" s="803"/>
      <c r="C117" s="819"/>
      <c r="D117" s="805" t="s">
        <v>882</v>
      </c>
      <c r="E117" s="806">
        <v>34439</v>
      </c>
      <c r="F117" s="802"/>
    </row>
    <row r="118" spans="2:12" x14ac:dyDescent="0.2">
      <c r="B118" s="803" t="s">
        <v>876</v>
      </c>
      <c r="C118" s="819">
        <v>109083</v>
      </c>
      <c r="D118" s="805" t="s">
        <v>890</v>
      </c>
      <c r="E118" s="806">
        <f>18655+679</f>
        <v>19334</v>
      </c>
      <c r="F118" s="802"/>
    </row>
    <row r="119" spans="2:12" x14ac:dyDescent="0.2">
      <c r="B119" s="828"/>
      <c r="C119" s="819"/>
      <c r="D119" s="805" t="s">
        <v>894</v>
      </c>
      <c r="E119" s="806">
        <v>526</v>
      </c>
      <c r="F119" s="802"/>
    </row>
    <row r="120" spans="2:12" ht="15.75" x14ac:dyDescent="0.25">
      <c r="B120" s="803"/>
      <c r="C120" s="819"/>
      <c r="D120" s="627" t="s">
        <v>891</v>
      </c>
      <c r="E120" s="801">
        <v>81239</v>
      </c>
      <c r="F120" s="802"/>
    </row>
    <row r="121" spans="2:12" ht="16.5" thickBot="1" x14ac:dyDescent="0.3">
      <c r="B121" s="808"/>
      <c r="C121" s="821">
        <f>SUM(C116:C120)</f>
        <v>109083</v>
      </c>
      <c r="D121" s="810"/>
      <c r="E121" s="811">
        <f>SUM(E115:E120)</f>
        <v>204883</v>
      </c>
      <c r="F121" s="812">
        <f>F114+C121-E121</f>
        <v>-12781</v>
      </c>
    </row>
    <row r="122" spans="2:12" ht="15.75" x14ac:dyDescent="0.25">
      <c r="B122" s="798" t="s">
        <v>896</v>
      </c>
      <c r="C122" s="819"/>
      <c r="D122" s="805" t="s">
        <v>873</v>
      </c>
      <c r="E122" s="806">
        <v>13900</v>
      </c>
      <c r="F122" s="802"/>
    </row>
    <row r="123" spans="2:12" x14ac:dyDescent="0.2">
      <c r="B123" s="803" t="s">
        <v>875</v>
      </c>
      <c r="C123" s="830"/>
      <c r="D123" s="805" t="s">
        <v>880</v>
      </c>
      <c r="E123" s="831">
        <v>1085</v>
      </c>
      <c r="F123" s="802"/>
    </row>
    <row r="124" spans="2:12" x14ac:dyDescent="0.2">
      <c r="B124" s="803"/>
      <c r="C124" s="819"/>
      <c r="D124" s="805" t="s">
        <v>882</v>
      </c>
      <c r="E124" s="806">
        <v>18194</v>
      </c>
      <c r="F124" s="802"/>
    </row>
    <row r="125" spans="2:12" x14ac:dyDescent="0.2">
      <c r="B125" s="803" t="s">
        <v>876</v>
      </c>
      <c r="C125" s="819">
        <v>97239</v>
      </c>
      <c r="D125" s="805" t="s">
        <v>890</v>
      </c>
      <c r="E125" s="806">
        <v>14103</v>
      </c>
      <c r="F125" s="802"/>
    </row>
    <row r="126" spans="2:12" x14ac:dyDescent="0.2">
      <c r="B126" s="828"/>
      <c r="C126" s="819"/>
      <c r="D126" s="805" t="s">
        <v>894</v>
      </c>
      <c r="E126" s="806">
        <v>206</v>
      </c>
      <c r="F126" s="802"/>
      <c r="G126" s="832"/>
    </row>
    <row r="127" spans="2:12" ht="15.75" x14ac:dyDescent="0.25">
      <c r="B127" s="803"/>
      <c r="C127" s="819"/>
      <c r="D127" s="627" t="s">
        <v>891</v>
      </c>
      <c r="E127" s="801">
        <f>205083+3377</f>
        <v>208460</v>
      </c>
      <c r="F127" s="802"/>
    </row>
    <row r="128" spans="2:12" ht="16.5" thickBot="1" x14ac:dyDescent="0.3">
      <c r="B128" s="808"/>
      <c r="C128" s="821">
        <f>SUM(C123:C127)</f>
        <v>97239</v>
      </c>
      <c r="D128" s="810"/>
      <c r="E128" s="811">
        <f>SUM(E122:E127)</f>
        <v>255948</v>
      </c>
      <c r="F128" s="812">
        <f>F121+C128-E128</f>
        <v>-171490</v>
      </c>
    </row>
    <row r="129" spans="2:7" ht="15.75" x14ac:dyDescent="0.25">
      <c r="B129" s="798" t="s">
        <v>897</v>
      </c>
      <c r="C129" s="819"/>
      <c r="D129" s="805" t="s">
        <v>873</v>
      </c>
      <c r="E129" s="806">
        <v>1100</v>
      </c>
      <c r="F129" s="802"/>
    </row>
    <row r="130" spans="2:7" x14ac:dyDescent="0.2">
      <c r="B130" s="803" t="s">
        <v>875</v>
      </c>
      <c r="C130" s="830"/>
      <c r="D130" s="805" t="s">
        <v>898</v>
      </c>
      <c r="E130" s="806">
        <v>17241</v>
      </c>
      <c r="F130" s="802"/>
    </row>
    <row r="131" spans="2:7" ht="30" x14ac:dyDescent="0.2">
      <c r="B131" s="803"/>
      <c r="C131" s="819"/>
      <c r="D131" s="833" t="s">
        <v>899</v>
      </c>
      <c r="E131" s="806">
        <v>52</v>
      </c>
      <c r="F131" s="802"/>
    </row>
    <row r="132" spans="2:7" x14ac:dyDescent="0.2">
      <c r="B132" s="803" t="s">
        <v>876</v>
      </c>
      <c r="C132" s="346">
        <v>82793</v>
      </c>
      <c r="D132" s="805" t="s">
        <v>894</v>
      </c>
      <c r="E132" s="806">
        <v>658</v>
      </c>
      <c r="F132" s="802"/>
    </row>
    <row r="133" spans="2:7" ht="15.75" x14ac:dyDescent="0.25">
      <c r="B133" s="828"/>
      <c r="C133" s="819"/>
      <c r="D133" s="627" t="s">
        <v>891</v>
      </c>
      <c r="E133" s="801">
        <f>1029+305355</f>
        <v>306384</v>
      </c>
      <c r="F133" s="802"/>
    </row>
    <row r="134" spans="2:7" ht="16.5" thickBot="1" x14ac:dyDescent="0.3">
      <c r="B134" s="808"/>
      <c r="C134" s="821">
        <f>SUM(C130:C133)</f>
        <v>82793</v>
      </c>
      <c r="D134" s="810"/>
      <c r="E134" s="811">
        <f>SUM(E129:E133)</f>
        <v>325435</v>
      </c>
      <c r="F134" s="812">
        <f>F128+C134-E134</f>
        <v>-414132</v>
      </c>
    </row>
    <row r="135" spans="2:7" ht="15.75" x14ac:dyDescent="0.25">
      <c r="B135" s="798" t="s">
        <v>900</v>
      </c>
      <c r="C135" s="819"/>
      <c r="D135" s="805" t="s">
        <v>873</v>
      </c>
      <c r="E135" s="806"/>
      <c r="F135" s="802"/>
    </row>
    <row r="136" spans="2:7" x14ac:dyDescent="0.2">
      <c r="B136" s="803" t="s">
        <v>875</v>
      </c>
      <c r="C136" s="830"/>
      <c r="D136" s="805" t="s">
        <v>898</v>
      </c>
      <c r="E136" s="806">
        <v>15156</v>
      </c>
      <c r="F136" s="802"/>
    </row>
    <row r="137" spans="2:7" ht="30" x14ac:dyDescent="0.2">
      <c r="B137" s="803"/>
      <c r="C137" s="819"/>
      <c r="D137" s="833" t="s">
        <v>899</v>
      </c>
      <c r="E137" s="806">
        <v>2076</v>
      </c>
      <c r="F137" s="802"/>
    </row>
    <row r="138" spans="2:7" x14ac:dyDescent="0.2">
      <c r="B138" s="803" t="s">
        <v>876</v>
      </c>
      <c r="C138" s="346">
        <v>70598</v>
      </c>
      <c r="D138" s="805" t="s">
        <v>894</v>
      </c>
      <c r="E138" s="806">
        <v>39</v>
      </c>
      <c r="F138" s="802"/>
    </row>
    <row r="139" spans="2:7" ht="15.75" x14ac:dyDescent="0.25">
      <c r="B139" s="828"/>
      <c r="C139" s="819"/>
      <c r="D139" s="627" t="s">
        <v>891</v>
      </c>
      <c r="E139" s="801">
        <f>861+4013+59376+1135</f>
        <v>65385</v>
      </c>
      <c r="F139" s="802"/>
    </row>
    <row r="140" spans="2:7" ht="16.5" thickBot="1" x14ac:dyDescent="0.3">
      <c r="B140" s="808"/>
      <c r="C140" s="821">
        <f>SUM(C136:C138)</f>
        <v>70598</v>
      </c>
      <c r="D140" s="810"/>
      <c r="E140" s="811">
        <f>SUM(E135:E139)</f>
        <v>82656</v>
      </c>
      <c r="F140" s="812">
        <f>F134+C140-E140</f>
        <v>-426190</v>
      </c>
    </row>
    <row r="141" spans="2:7" ht="15.75" x14ac:dyDescent="0.25">
      <c r="B141" s="798" t="s">
        <v>901</v>
      </c>
      <c r="C141" s="819"/>
      <c r="D141" s="805" t="s">
        <v>873</v>
      </c>
      <c r="E141" s="806"/>
      <c r="F141" s="802"/>
    </row>
    <row r="142" spans="2:7" x14ac:dyDescent="0.2">
      <c r="B142" s="803" t="s">
        <v>875</v>
      </c>
      <c r="C142" s="830"/>
      <c r="D142" s="805" t="s">
        <v>898</v>
      </c>
      <c r="E142" s="806"/>
      <c r="F142" s="802"/>
    </row>
    <row r="143" spans="2:7" ht="30" x14ac:dyDescent="0.2">
      <c r="B143" s="803"/>
      <c r="C143" s="819"/>
      <c r="D143" s="833" t="s">
        <v>899</v>
      </c>
      <c r="E143" s="806">
        <v>1845</v>
      </c>
      <c r="F143" s="802"/>
      <c r="G143" s="832"/>
    </row>
    <row r="144" spans="2:7" x14ac:dyDescent="0.2">
      <c r="B144" s="803" t="s">
        <v>876</v>
      </c>
      <c r="C144" s="346">
        <v>58874</v>
      </c>
      <c r="D144" s="805" t="s">
        <v>894</v>
      </c>
      <c r="E144" s="806">
        <v>73</v>
      </c>
      <c r="F144" s="802"/>
    </row>
    <row r="145" spans="2:9" ht="15.75" x14ac:dyDescent="0.25">
      <c r="B145" s="828"/>
      <c r="C145" s="819"/>
      <c r="D145" s="627" t="s">
        <v>891</v>
      </c>
      <c r="E145" s="801">
        <v>0</v>
      </c>
      <c r="F145" s="802"/>
    </row>
    <row r="146" spans="2:9" ht="16.5" thickBot="1" x14ac:dyDescent="0.3">
      <c r="B146" s="808"/>
      <c r="C146" s="821">
        <f>SUM(C142:C144)</f>
        <v>58874</v>
      </c>
      <c r="D146" s="810"/>
      <c r="E146" s="811">
        <f>SUM(E141:E145)</f>
        <v>1918</v>
      </c>
      <c r="F146" s="812">
        <f>F140+C146-E146</f>
        <v>-369234</v>
      </c>
      <c r="G146"/>
      <c r="H146"/>
      <c r="I146"/>
    </row>
    <row r="147" spans="2:9" ht="15.75" x14ac:dyDescent="0.25">
      <c r="B147" s="798" t="s">
        <v>902</v>
      </c>
      <c r="C147" s="819"/>
      <c r="D147" s="805"/>
      <c r="E147" s="806"/>
      <c r="F147" s="802"/>
      <c r="G147"/>
      <c r="H147"/>
      <c r="I147"/>
    </row>
    <row r="148" spans="2:9" ht="15.75" x14ac:dyDescent="0.25">
      <c r="B148" s="803" t="s">
        <v>875</v>
      </c>
      <c r="C148" s="830"/>
      <c r="D148" s="805" t="s">
        <v>903</v>
      </c>
      <c r="E148" s="806">
        <v>49982</v>
      </c>
      <c r="F148" s="802"/>
      <c r="G148" s="834"/>
      <c r="H148"/>
      <c r="I148"/>
    </row>
    <row r="149" spans="2:9" x14ac:dyDescent="0.2">
      <c r="B149" s="803"/>
      <c r="C149" s="819"/>
      <c r="D149" s="833" t="s">
        <v>904</v>
      </c>
      <c r="E149" s="806">
        <v>19718</v>
      </c>
      <c r="F149" s="802"/>
      <c r="G149"/>
      <c r="H149"/>
      <c r="I149"/>
    </row>
    <row r="150" spans="2:9" ht="15.75" x14ac:dyDescent="0.25">
      <c r="B150" s="803" t="s">
        <v>876</v>
      </c>
      <c r="C150" s="346">
        <v>62648</v>
      </c>
      <c r="D150" s="805" t="s">
        <v>894</v>
      </c>
      <c r="E150" s="806"/>
      <c r="F150" s="802"/>
      <c r="G150" s="834"/>
      <c r="H150"/>
      <c r="I150"/>
    </row>
    <row r="151" spans="2:9" ht="15.75" x14ac:dyDescent="0.25">
      <c r="B151" s="828"/>
      <c r="C151" s="819"/>
      <c r="D151" s="627" t="s">
        <v>891</v>
      </c>
      <c r="E151" s="801">
        <v>0</v>
      </c>
      <c r="F151" s="802"/>
      <c r="G151"/>
      <c r="H151"/>
      <c r="I151"/>
    </row>
    <row r="152" spans="2:9" ht="16.5" thickBot="1" x14ac:dyDescent="0.3">
      <c r="B152" s="808"/>
      <c r="C152" s="821">
        <f>SUM(C148:C150)</f>
        <v>62648</v>
      </c>
      <c r="D152" s="810"/>
      <c r="E152" s="811">
        <f>SUM(E147:E151)</f>
        <v>69700</v>
      </c>
      <c r="F152" s="812">
        <f>F146+C152-E152</f>
        <v>-376286</v>
      </c>
      <c r="G152"/>
      <c r="H152"/>
      <c r="I152"/>
    </row>
    <row r="153" spans="2:9" ht="15.75" x14ac:dyDescent="0.25">
      <c r="B153" s="823" t="s">
        <v>905</v>
      </c>
      <c r="C153" s="824"/>
      <c r="D153" s="825"/>
      <c r="E153" s="826"/>
      <c r="F153" s="827"/>
      <c r="G153"/>
      <c r="H153"/>
      <c r="I153"/>
    </row>
    <row r="154" spans="2:9" x14ac:dyDescent="0.2">
      <c r="B154" s="803" t="s">
        <v>875</v>
      </c>
      <c r="C154" s="830">
        <v>26046</v>
      </c>
      <c r="D154" s="833" t="s">
        <v>904</v>
      </c>
      <c r="E154" s="806">
        <v>19764</v>
      </c>
      <c r="F154" s="802"/>
      <c r="G154"/>
      <c r="H154"/>
      <c r="I154"/>
    </row>
    <row r="155" spans="2:9" x14ac:dyDescent="0.2">
      <c r="B155" s="803"/>
      <c r="C155" s="819"/>
      <c r="D155" s="835" t="s">
        <v>891</v>
      </c>
      <c r="E155" s="806">
        <v>4</v>
      </c>
      <c r="F155" s="802"/>
      <c r="G155"/>
      <c r="H155"/>
      <c r="I155"/>
    </row>
    <row r="156" spans="2:9" x14ac:dyDescent="0.2">
      <c r="B156" s="803" t="s">
        <v>876</v>
      </c>
      <c r="C156" s="346">
        <v>50065</v>
      </c>
      <c r="D156" s="805" t="s">
        <v>906</v>
      </c>
      <c r="E156" s="806">
        <v>2366</v>
      </c>
      <c r="F156" s="802"/>
      <c r="G156"/>
      <c r="H156"/>
      <c r="I156"/>
    </row>
    <row r="157" spans="2:9" ht="15.75" x14ac:dyDescent="0.25">
      <c r="B157" s="828"/>
      <c r="C157" s="819"/>
      <c r="D157" s="627"/>
      <c r="E157" s="801"/>
      <c r="F157" s="802"/>
      <c r="G157"/>
      <c r="H157"/>
      <c r="I157"/>
    </row>
    <row r="158" spans="2:9" ht="16.5" thickBot="1" x14ac:dyDescent="0.3">
      <c r="B158" s="808"/>
      <c r="C158" s="821">
        <f>SUM(C154:C157)</f>
        <v>76111</v>
      </c>
      <c r="D158" s="810"/>
      <c r="E158" s="811">
        <f>SUM(E154:E157)</f>
        <v>22134</v>
      </c>
      <c r="F158" s="812">
        <f>+F152+C158-E158</f>
        <v>-322309</v>
      </c>
      <c r="G158"/>
      <c r="H158"/>
      <c r="I158"/>
    </row>
    <row r="159" spans="2:9" ht="15.75" x14ac:dyDescent="0.25">
      <c r="B159" s="823" t="s">
        <v>907</v>
      </c>
      <c r="C159" s="836"/>
      <c r="D159" s="825"/>
      <c r="E159" s="826"/>
      <c r="F159" s="837"/>
      <c r="G159"/>
      <c r="H159"/>
      <c r="I159"/>
    </row>
    <row r="160" spans="2:9" ht="15.75" x14ac:dyDescent="0.25">
      <c r="B160" s="803" t="s">
        <v>875</v>
      </c>
      <c r="C160" s="838">
        <v>74316</v>
      </c>
      <c r="D160" s="833" t="s">
        <v>904</v>
      </c>
      <c r="E160" s="806">
        <v>23662</v>
      </c>
      <c r="F160" s="839"/>
      <c r="G160"/>
      <c r="H160"/>
      <c r="I160"/>
    </row>
    <row r="161" spans="2:9" ht="15.75" x14ac:dyDescent="0.25">
      <c r="B161" s="803"/>
      <c r="C161" s="840"/>
      <c r="D161" s="835" t="s">
        <v>891</v>
      </c>
      <c r="E161" s="806">
        <v>1948</v>
      </c>
      <c r="F161" s="839"/>
      <c r="G161"/>
      <c r="H161"/>
      <c r="I161"/>
    </row>
    <row r="162" spans="2:9" ht="15.75" x14ac:dyDescent="0.25">
      <c r="B162" s="803" t="s">
        <v>876</v>
      </c>
      <c r="C162" s="74">
        <v>40185</v>
      </c>
      <c r="D162" s="805" t="s">
        <v>906</v>
      </c>
      <c r="E162" s="806">
        <v>1953</v>
      </c>
      <c r="F162" s="839"/>
      <c r="G162"/>
      <c r="H162"/>
      <c r="I162"/>
    </row>
    <row r="163" spans="2:9" ht="15.75" x14ac:dyDescent="0.25">
      <c r="B163" s="841"/>
      <c r="C163" s="842"/>
      <c r="D163" s="843"/>
      <c r="E163" s="844"/>
      <c r="F163" s="845"/>
      <c r="G163"/>
      <c r="H163"/>
      <c r="I163"/>
    </row>
    <row r="164" spans="2:9" ht="16.5" thickBot="1" x14ac:dyDescent="0.3">
      <c r="B164" s="846"/>
      <c r="C164" s="847">
        <f>SUM(C160:C163)</f>
        <v>114501</v>
      </c>
      <c r="D164" s="848"/>
      <c r="E164" s="849">
        <f>SUM(E160:E163)</f>
        <v>27563</v>
      </c>
      <c r="F164" s="850">
        <f>+F158+C164-E164</f>
        <v>-235371</v>
      </c>
      <c r="G164"/>
      <c r="H164"/>
      <c r="I164"/>
    </row>
    <row r="165" spans="2:9" ht="15.75" x14ac:dyDescent="0.25">
      <c r="B165" s="823" t="s">
        <v>908</v>
      </c>
      <c r="C165" s="836"/>
      <c r="D165" s="825"/>
      <c r="E165" s="826"/>
      <c r="F165" s="837"/>
      <c r="G165"/>
      <c r="H165"/>
      <c r="I165"/>
    </row>
    <row r="166" spans="2:9" ht="15.75" x14ac:dyDescent="0.25">
      <c r="B166" s="803" t="s">
        <v>875</v>
      </c>
      <c r="C166" s="838">
        <v>78723</v>
      </c>
      <c r="D166" s="851" t="s">
        <v>904</v>
      </c>
      <c r="E166" s="831">
        <v>29980</v>
      </c>
      <c r="F166" s="839"/>
      <c r="G166"/>
      <c r="H166"/>
      <c r="I166"/>
    </row>
    <row r="167" spans="2:9" ht="15.75" x14ac:dyDescent="0.25">
      <c r="B167" s="803"/>
      <c r="C167" s="838"/>
      <c r="D167" s="143" t="s">
        <v>891</v>
      </c>
      <c r="E167" s="831">
        <v>3028</v>
      </c>
      <c r="F167" s="839"/>
      <c r="G167"/>
      <c r="H167"/>
      <c r="I167"/>
    </row>
    <row r="168" spans="2:9" ht="15.75" x14ac:dyDescent="0.25">
      <c r="B168" s="803" t="s">
        <v>876</v>
      </c>
      <c r="C168" s="74">
        <v>31847</v>
      </c>
      <c r="D168" s="852" t="s">
        <v>906</v>
      </c>
      <c r="E168" s="831">
        <v>1895</v>
      </c>
      <c r="F168" s="839"/>
      <c r="G168"/>
      <c r="H168"/>
      <c r="I168"/>
    </row>
    <row r="169" spans="2:9" ht="15.75" x14ac:dyDescent="0.25">
      <c r="B169" s="803"/>
      <c r="C169" s="74"/>
      <c r="D169" s="852" t="s">
        <v>909</v>
      </c>
      <c r="E169" s="831">
        <v>25575</v>
      </c>
      <c r="F169" s="839"/>
      <c r="G169"/>
      <c r="H169"/>
      <c r="I169"/>
    </row>
    <row r="170" spans="2:9" ht="15.75" x14ac:dyDescent="0.25">
      <c r="B170" s="803"/>
      <c r="C170" s="74"/>
      <c r="D170" s="852" t="s">
        <v>910</v>
      </c>
      <c r="E170" s="831">
        <v>16000</v>
      </c>
      <c r="F170" s="839"/>
      <c r="G170"/>
      <c r="H170"/>
      <c r="I170"/>
    </row>
    <row r="171" spans="2:9" ht="15.75" x14ac:dyDescent="0.25">
      <c r="B171" s="841"/>
      <c r="C171" s="853"/>
      <c r="D171" s="843"/>
      <c r="E171" s="854"/>
      <c r="F171" s="845"/>
      <c r="G171"/>
      <c r="H171"/>
      <c r="I171"/>
    </row>
    <row r="172" spans="2:9" ht="16.5" thickBot="1" x14ac:dyDescent="0.3">
      <c r="B172" s="846"/>
      <c r="C172" s="855">
        <f>SUM(C166:C171)</f>
        <v>110570</v>
      </c>
      <c r="D172" s="856"/>
      <c r="E172" s="857">
        <f>SUM(E166:E171)</f>
        <v>76478</v>
      </c>
      <c r="F172" s="850">
        <f>+F164+C172-E172</f>
        <v>-201279</v>
      </c>
      <c r="G172"/>
      <c r="H172"/>
      <c r="I172"/>
    </row>
    <row r="173" spans="2:9" ht="15.75" x14ac:dyDescent="0.25">
      <c r="B173" s="823" t="s">
        <v>260</v>
      </c>
      <c r="C173" s="858"/>
      <c r="D173" s="859"/>
      <c r="E173" s="860"/>
      <c r="F173" s="837"/>
      <c r="G173"/>
      <c r="H173"/>
      <c r="I173"/>
    </row>
    <row r="174" spans="2:9" ht="15.75" x14ac:dyDescent="0.25">
      <c r="B174" s="803" t="s">
        <v>875</v>
      </c>
      <c r="C174" s="838">
        <v>55643</v>
      </c>
      <c r="D174" s="851" t="s">
        <v>904</v>
      </c>
      <c r="E174" s="831">
        <v>29995</v>
      </c>
      <c r="F174" s="839"/>
      <c r="G174"/>
      <c r="H174"/>
      <c r="I174"/>
    </row>
    <row r="175" spans="2:9" ht="15.75" x14ac:dyDescent="0.25">
      <c r="B175" s="803"/>
      <c r="C175" s="838"/>
      <c r="D175" s="143" t="s">
        <v>891</v>
      </c>
      <c r="E175" s="831">
        <v>128</v>
      </c>
      <c r="F175" s="839"/>
      <c r="G175"/>
      <c r="H175"/>
      <c r="I175"/>
    </row>
    <row r="176" spans="2:9" ht="15.75" x14ac:dyDescent="0.25">
      <c r="B176" s="803" t="s">
        <v>876</v>
      </c>
      <c r="C176" s="74">
        <v>27450</v>
      </c>
      <c r="D176" s="852" t="s">
        <v>906</v>
      </c>
      <c r="E176" s="831">
        <v>1837</v>
      </c>
      <c r="F176" s="839"/>
      <c r="G176"/>
      <c r="H176"/>
      <c r="I176"/>
    </row>
    <row r="177" spans="2:9" ht="15.75" x14ac:dyDescent="0.25">
      <c r="B177" s="803"/>
      <c r="C177" s="74"/>
      <c r="D177" s="852" t="s">
        <v>909</v>
      </c>
      <c r="E177" s="831">
        <v>111151</v>
      </c>
      <c r="F177" s="839"/>
      <c r="G177"/>
      <c r="H177"/>
      <c r="I177"/>
    </row>
    <row r="178" spans="2:9" ht="15.75" x14ac:dyDescent="0.25">
      <c r="B178" s="803"/>
      <c r="C178" s="428"/>
      <c r="D178" s="805"/>
      <c r="E178" s="861"/>
      <c r="F178" s="839"/>
      <c r="G178"/>
      <c r="H178"/>
      <c r="I178"/>
    </row>
    <row r="179" spans="2:9" ht="15.75" x14ac:dyDescent="0.25">
      <c r="B179" s="841"/>
      <c r="C179" s="842"/>
      <c r="D179" s="843"/>
      <c r="E179" s="844"/>
      <c r="F179" s="845"/>
      <c r="G179"/>
      <c r="H179"/>
      <c r="I179"/>
    </row>
    <row r="180" spans="2:9" ht="16.5" thickBot="1" x14ac:dyDescent="0.3">
      <c r="B180" s="846"/>
      <c r="C180" s="847">
        <f>SUM(C174:C179)</f>
        <v>83093</v>
      </c>
      <c r="D180" s="848"/>
      <c r="E180" s="849">
        <f>SUM(E174:E179)</f>
        <v>143111</v>
      </c>
      <c r="F180" s="850">
        <f>+F172+C180-E180</f>
        <v>-261297</v>
      </c>
      <c r="G180"/>
      <c r="H180"/>
      <c r="I180"/>
    </row>
    <row r="181" spans="2:9" ht="15.75" x14ac:dyDescent="0.25">
      <c r="B181" s="823" t="s">
        <v>259</v>
      </c>
      <c r="C181" s="858"/>
      <c r="D181" s="859"/>
      <c r="E181" s="860"/>
      <c r="F181" s="837"/>
      <c r="G181"/>
      <c r="H181"/>
      <c r="I181"/>
    </row>
    <row r="182" spans="2:9" ht="15.75" x14ac:dyDescent="0.25">
      <c r="B182" s="803" t="s">
        <v>875</v>
      </c>
      <c r="C182" s="838">
        <v>83142</v>
      </c>
      <c r="D182" s="851" t="s">
        <v>904</v>
      </c>
      <c r="E182" s="831">
        <v>33745</v>
      </c>
      <c r="F182" s="839"/>
      <c r="G182"/>
      <c r="H182"/>
      <c r="I182"/>
    </row>
    <row r="183" spans="2:9" ht="15.75" x14ac:dyDescent="0.25">
      <c r="B183" s="803"/>
      <c r="C183" s="838"/>
      <c r="D183" s="143" t="s">
        <v>891</v>
      </c>
      <c r="E183" s="831">
        <v>0</v>
      </c>
      <c r="F183" s="839"/>
      <c r="G183"/>
      <c r="H183"/>
      <c r="I183"/>
    </row>
    <row r="184" spans="2:9" ht="15.75" x14ac:dyDescent="0.25">
      <c r="B184" s="803" t="s">
        <v>876</v>
      </c>
      <c r="C184" s="74">
        <v>23910</v>
      </c>
      <c r="D184" s="852" t="s">
        <v>906</v>
      </c>
      <c r="E184" s="831">
        <v>1779</v>
      </c>
      <c r="F184" s="839"/>
      <c r="G184"/>
      <c r="H184"/>
      <c r="I184"/>
    </row>
    <row r="185" spans="2:9" ht="15.75" x14ac:dyDescent="0.25">
      <c r="B185" s="803"/>
      <c r="C185" s="74"/>
      <c r="D185" s="852" t="s">
        <v>909</v>
      </c>
      <c r="E185" s="831">
        <v>24603</v>
      </c>
      <c r="F185" s="839"/>
      <c r="G185"/>
      <c r="H185"/>
      <c r="I185"/>
    </row>
    <row r="186" spans="2:9" ht="15.75" x14ac:dyDescent="0.25">
      <c r="B186" s="803"/>
      <c r="C186" s="428"/>
      <c r="D186" s="805"/>
      <c r="E186" s="861"/>
      <c r="F186" s="839"/>
      <c r="G186"/>
      <c r="H186"/>
      <c r="I186"/>
    </row>
    <row r="187" spans="2:9" ht="15.75" x14ac:dyDescent="0.25">
      <c r="B187" s="841"/>
      <c r="C187" s="842"/>
      <c r="D187" s="843"/>
      <c r="E187" s="844"/>
      <c r="F187" s="845"/>
      <c r="G187"/>
      <c r="H187"/>
      <c r="I187"/>
    </row>
    <row r="188" spans="2:9" ht="16.5" thickBot="1" x14ac:dyDescent="0.3">
      <c r="B188" s="846"/>
      <c r="C188" s="847">
        <f>SUM(C182:C187)</f>
        <v>107052</v>
      </c>
      <c r="D188" s="848"/>
      <c r="E188" s="849">
        <f>SUM(E182:E187)</f>
        <v>60127</v>
      </c>
      <c r="F188" s="850">
        <f>+F180+C188-E188</f>
        <v>-214372</v>
      </c>
      <c r="G188"/>
      <c r="H188"/>
      <c r="I188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verticalDpi="300" r:id="rId1"/>
  <headerFooter alignWithMargins="0">
    <oddHeader>&amp;C &amp;R&amp;"Arial CE,Félkövér"&amp;16 25. melléklet</oddHeader>
    <oddFooter xml:space="preserve">&amp;C </oddFooter>
  </headerFooter>
  <rowBreaks count="2" manualBreakCount="2">
    <brk id="77" min="1" max="5" man="1"/>
    <brk id="15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zoomScale="75" zoomScaleNormal="75" workbookViewId="0">
      <selection activeCell="B1" sqref="B1:E1"/>
    </sheetView>
  </sheetViews>
  <sheetFormatPr defaultColWidth="12" defaultRowHeight="15" x14ac:dyDescent="0.2"/>
  <cols>
    <col min="1" max="1" width="3.6640625" style="862" customWidth="1"/>
    <col min="2" max="2" width="6.6640625" style="862" customWidth="1"/>
    <col min="3" max="4" width="12" style="862" customWidth="1"/>
    <col min="5" max="5" width="111.33203125" style="862" customWidth="1"/>
    <col min="6" max="6" width="22.5" style="863" customWidth="1"/>
    <col min="7" max="7" width="24.83203125" style="862" customWidth="1"/>
    <col min="8" max="8" width="17.5" style="862" customWidth="1"/>
    <col min="9" max="9" width="25" style="862" customWidth="1"/>
    <col min="10" max="10" width="14.6640625" style="862" customWidth="1"/>
    <col min="11" max="11" width="12" style="862" customWidth="1"/>
    <col min="12" max="12" width="14.5" style="862" customWidth="1"/>
    <col min="13" max="16384" width="12" style="862"/>
  </cols>
  <sheetData>
    <row r="2" spans="2:21" ht="18" x14ac:dyDescent="0.25">
      <c r="G2" s="864"/>
    </row>
    <row r="3" spans="2:21" ht="24" customHeight="1" x14ac:dyDescent="0.3">
      <c r="B3" s="2749" t="s">
        <v>911</v>
      </c>
      <c r="C3" s="2749"/>
      <c r="D3" s="2749"/>
      <c r="E3" s="2749"/>
      <c r="F3" s="2749"/>
      <c r="G3" s="2749"/>
      <c r="H3" s="865"/>
    </row>
    <row r="4" spans="2:21" ht="24.75" customHeight="1" x14ac:dyDescent="0.3">
      <c r="B4" s="2749" t="s">
        <v>1298</v>
      </c>
      <c r="C4" s="2749"/>
      <c r="D4" s="2749"/>
      <c r="E4" s="2749"/>
      <c r="F4" s="2749"/>
      <c r="G4" s="2749"/>
      <c r="H4" s="866"/>
    </row>
    <row r="5" spans="2:21" ht="15.75" x14ac:dyDescent="0.25">
      <c r="D5" s="867"/>
      <c r="E5" s="867"/>
    </row>
    <row r="6" spans="2:21" ht="16.5" thickBot="1" x14ac:dyDescent="0.3">
      <c r="B6" s="868"/>
      <c r="C6" s="868" t="s">
        <v>110</v>
      </c>
      <c r="D6" s="868"/>
      <c r="E6" s="868"/>
      <c r="F6" s="869" t="s">
        <v>110</v>
      </c>
      <c r="G6" s="870" t="s">
        <v>38</v>
      </c>
      <c r="H6" s="870"/>
    </row>
    <row r="7" spans="2:21" s="875" customFormat="1" ht="18.75" x14ac:dyDescent="0.3">
      <c r="B7" s="871"/>
      <c r="C7" s="872" t="s">
        <v>110</v>
      </c>
      <c r="D7" s="872" t="s">
        <v>110</v>
      </c>
      <c r="E7" s="872"/>
      <c r="F7" s="873" t="s">
        <v>110</v>
      </c>
      <c r="G7" s="874"/>
      <c r="H7" s="502"/>
    </row>
    <row r="8" spans="2:21" s="875" customFormat="1" ht="18" customHeight="1" x14ac:dyDescent="0.3">
      <c r="B8" s="2750" t="s">
        <v>59</v>
      </c>
      <c r="C8" s="2751"/>
      <c r="D8" s="2751"/>
      <c r="E8" s="2751"/>
      <c r="F8" s="2752" t="s">
        <v>912</v>
      </c>
      <c r="G8" s="2753"/>
      <c r="H8" s="502"/>
    </row>
    <row r="9" spans="2:21" s="875" customFormat="1" ht="38.25" customHeight="1" thickBot="1" x14ac:dyDescent="0.3">
      <c r="B9" s="876"/>
      <c r="C9" s="877"/>
      <c r="D9" s="877"/>
      <c r="E9" s="877"/>
      <c r="F9" s="878" t="s">
        <v>816</v>
      </c>
      <c r="G9" s="879" t="s">
        <v>913</v>
      </c>
      <c r="H9" s="880"/>
      <c r="I9" s="881"/>
    </row>
    <row r="10" spans="2:21" s="887" customFormat="1" ht="23.1" customHeight="1" x14ac:dyDescent="0.25">
      <c r="B10" s="888" t="s">
        <v>382</v>
      </c>
      <c r="C10" s="882" t="s">
        <v>914</v>
      </c>
      <c r="D10" s="889"/>
      <c r="E10" s="889"/>
      <c r="F10" s="883">
        <v>13748</v>
      </c>
      <c r="G10" s="890">
        <f t="shared" ref="G10:G16" si="0">F10/F$21*100</f>
        <v>9.1917442785603978</v>
      </c>
      <c r="H10" s="885"/>
      <c r="I10" s="886"/>
    </row>
    <row r="11" spans="2:21" s="887" customFormat="1" ht="31.5" customHeight="1" thickBot="1" x14ac:dyDescent="0.3">
      <c r="B11" s="891" t="s">
        <v>71</v>
      </c>
      <c r="C11" s="892" t="s">
        <v>915</v>
      </c>
      <c r="D11" s="892"/>
      <c r="E11" s="892"/>
      <c r="F11" s="893">
        <f>SUM(F10:F10)</f>
        <v>13748</v>
      </c>
      <c r="G11" s="894">
        <f t="shared" si="0"/>
        <v>9.1917442785603978</v>
      </c>
      <c r="I11" s="886"/>
    </row>
    <row r="12" spans="2:21" s="896" customFormat="1" ht="22.5" customHeight="1" x14ac:dyDescent="0.25">
      <c r="B12" s="900" t="s">
        <v>383</v>
      </c>
      <c r="C12" s="889" t="s">
        <v>918</v>
      </c>
      <c r="D12" s="889"/>
      <c r="E12" s="889"/>
      <c r="F12" s="883">
        <v>7034</v>
      </c>
      <c r="G12" s="901">
        <f t="shared" si="0"/>
        <v>4.7028461780181727</v>
      </c>
      <c r="H12" s="895"/>
      <c r="I12" s="895"/>
      <c r="J12" s="895"/>
      <c r="K12" s="895"/>
      <c r="L12" s="895"/>
      <c r="M12" s="895"/>
      <c r="N12" s="895"/>
      <c r="O12" s="895"/>
      <c r="P12" s="895"/>
      <c r="Q12" s="895"/>
      <c r="R12" s="895"/>
      <c r="S12" s="895"/>
      <c r="T12" s="895"/>
      <c r="U12" s="895"/>
    </row>
    <row r="13" spans="2:21" s="875" customFormat="1" ht="32.25" customHeight="1" thickBot="1" x14ac:dyDescent="0.3">
      <c r="B13" s="897" t="s">
        <v>384</v>
      </c>
      <c r="C13" s="898" t="s">
        <v>920</v>
      </c>
      <c r="D13" s="898"/>
      <c r="E13" s="898"/>
      <c r="F13" s="899">
        <f>SUM(F12:F12)</f>
        <v>7034</v>
      </c>
      <c r="G13" s="902">
        <f t="shared" si="0"/>
        <v>4.7028461780181727</v>
      </c>
      <c r="H13" s="903"/>
      <c r="I13" s="904"/>
    </row>
    <row r="14" spans="2:21" s="896" customFormat="1" ht="23.1" customHeight="1" x14ac:dyDescent="0.25">
      <c r="B14" s="905" t="s">
        <v>386</v>
      </c>
      <c r="C14" s="889" t="s">
        <v>923</v>
      </c>
      <c r="D14" s="889"/>
      <c r="E14" s="889"/>
      <c r="F14" s="883">
        <v>11420</v>
      </c>
      <c r="G14" s="884">
        <f t="shared" si="0"/>
        <v>7.6352720149228777</v>
      </c>
      <c r="H14" s="895"/>
      <c r="I14" s="895"/>
      <c r="J14" s="895"/>
      <c r="K14" s="895"/>
      <c r="L14" s="895"/>
      <c r="M14" s="895"/>
      <c r="N14" s="895"/>
      <c r="O14" s="895"/>
      <c r="P14" s="895"/>
      <c r="Q14" s="895"/>
      <c r="R14" s="895"/>
      <c r="S14" s="895"/>
      <c r="T14" s="895"/>
      <c r="U14" s="895"/>
    </row>
    <row r="15" spans="2:21" s="887" customFormat="1" ht="39" customHeight="1" x14ac:dyDescent="0.3">
      <c r="B15" s="900" t="s">
        <v>387</v>
      </c>
      <c r="C15" s="2754" t="s">
        <v>924</v>
      </c>
      <c r="D15" s="2755"/>
      <c r="E15" s="2756"/>
      <c r="F15" s="883">
        <v>110433</v>
      </c>
      <c r="G15" s="901">
        <f t="shared" si="0"/>
        <v>73.834150124691604</v>
      </c>
      <c r="H15" s="906"/>
      <c r="I15" s="895"/>
      <c r="J15" s="895"/>
      <c r="K15" s="895"/>
      <c r="L15" s="895"/>
      <c r="M15" s="895"/>
      <c r="N15" s="895"/>
      <c r="O15" s="895"/>
      <c r="P15" s="895"/>
      <c r="Q15" s="895"/>
      <c r="R15" s="895"/>
      <c r="S15" s="895"/>
      <c r="T15" s="895"/>
      <c r="U15" s="895"/>
    </row>
    <row r="16" spans="2:21" s="875" customFormat="1" ht="32.25" customHeight="1" thickBot="1" x14ac:dyDescent="0.3">
      <c r="B16" s="897" t="s">
        <v>388</v>
      </c>
      <c r="C16" s="898" t="s">
        <v>926</v>
      </c>
      <c r="D16" s="898"/>
      <c r="E16" s="898"/>
      <c r="F16" s="899">
        <f>SUM(F14:F15)</f>
        <v>121853</v>
      </c>
      <c r="G16" s="902">
        <f t="shared" si="0"/>
        <v>81.469422139614494</v>
      </c>
      <c r="H16" s="907" t="s">
        <v>927</v>
      </c>
      <c r="I16" s="904"/>
    </row>
    <row r="17" spans="2:15" s="916" customFormat="1" ht="20.100000000000001" customHeight="1" x14ac:dyDescent="0.25">
      <c r="B17" s="908"/>
      <c r="C17" s="909"/>
      <c r="D17" s="909"/>
      <c r="E17" s="909"/>
      <c r="F17" s="910"/>
      <c r="G17" s="911"/>
      <c r="H17" s="912">
        <v>159336</v>
      </c>
      <c r="I17" s="913"/>
      <c r="J17" s="914" t="s">
        <v>928</v>
      </c>
      <c r="K17" s="914">
        <v>15600</v>
      </c>
      <c r="L17" s="915" t="s">
        <v>929</v>
      </c>
    </row>
    <row r="18" spans="2:15" s="875" customFormat="1" ht="23.1" customHeight="1" x14ac:dyDescent="0.25">
      <c r="B18" s="917" t="s">
        <v>916</v>
      </c>
      <c r="C18" s="909" t="s">
        <v>930</v>
      </c>
      <c r="D18" s="909"/>
      <c r="E18" s="909"/>
      <c r="F18" s="910">
        <v>5848</v>
      </c>
      <c r="G18" s="918">
        <f>F18/F$21*100</f>
        <v>3.9099011158729415</v>
      </c>
      <c r="H18" s="919">
        <f>+F11+F13+F16</f>
        <v>142635</v>
      </c>
      <c r="I18" s="913"/>
      <c r="J18" s="914"/>
      <c r="K18" s="914">
        <v>225</v>
      </c>
      <c r="L18" s="875" t="s">
        <v>3</v>
      </c>
    </row>
    <row r="19" spans="2:15" s="875" customFormat="1" ht="23.1" customHeight="1" x14ac:dyDescent="0.25">
      <c r="B19" s="920" t="s">
        <v>917</v>
      </c>
      <c r="C19" s="921" t="s">
        <v>931</v>
      </c>
      <c r="D19" s="921"/>
      <c r="E19" s="921"/>
      <c r="F19" s="922">
        <v>0</v>
      </c>
      <c r="G19" s="923">
        <f>F19/F$21*100</f>
        <v>0</v>
      </c>
      <c r="H19" s="913">
        <f>+H17-H18</f>
        <v>16701</v>
      </c>
      <c r="I19" s="913"/>
      <c r="J19" s="914"/>
      <c r="K19" s="924">
        <v>875</v>
      </c>
      <c r="L19" s="924" t="s">
        <v>196</v>
      </c>
      <c r="M19" s="924"/>
      <c r="N19" s="924"/>
      <c r="O19" s="924"/>
    </row>
    <row r="20" spans="2:15" s="875" customFormat="1" ht="23.1" customHeight="1" x14ac:dyDescent="0.25">
      <c r="B20" s="920" t="s">
        <v>919</v>
      </c>
      <c r="C20" s="909" t="s">
        <v>932</v>
      </c>
      <c r="D20" s="909"/>
      <c r="E20" s="909"/>
      <c r="F20" s="883">
        <v>1086</v>
      </c>
      <c r="G20" s="918">
        <f>F20/F$21*100</f>
        <v>0.7260862879339971</v>
      </c>
      <c r="H20" s="903"/>
      <c r="J20" s="914"/>
      <c r="K20" s="914">
        <f>SUM(K17:K19)</f>
        <v>16700</v>
      </c>
    </row>
    <row r="21" spans="2:15" s="875" customFormat="1" ht="23.1" customHeight="1" thickBot="1" x14ac:dyDescent="0.3">
      <c r="B21" s="925" t="s">
        <v>921</v>
      </c>
      <c r="C21" s="926" t="s">
        <v>933</v>
      </c>
      <c r="D21" s="926"/>
      <c r="E21" s="926"/>
      <c r="F21" s="927">
        <f>+F11+F13+F16+F18+F19+F20</f>
        <v>149569</v>
      </c>
      <c r="G21" s="928">
        <f>F21/F$21*100</f>
        <v>100</v>
      </c>
      <c r="H21" s="903">
        <f>SUM(F18:F20)</f>
        <v>6934</v>
      </c>
      <c r="I21" s="914"/>
      <c r="J21" s="914"/>
      <c r="K21" s="914"/>
    </row>
    <row r="22" spans="2:15" s="875" customFormat="1" ht="29.25" customHeight="1" x14ac:dyDescent="0.25">
      <c r="F22" s="904"/>
      <c r="G22" s="929">
        <f>+G11+G13+G16+G18+G19+G20</f>
        <v>100</v>
      </c>
      <c r="H22" s="903"/>
      <c r="I22" s="914"/>
      <c r="J22" s="914"/>
      <c r="K22" s="914"/>
      <c r="L22" s="914"/>
      <c r="M22" s="930"/>
    </row>
    <row r="23" spans="2:15" ht="20.100000000000001" customHeight="1" x14ac:dyDescent="0.25">
      <c r="G23" s="863"/>
      <c r="H23" s="931"/>
      <c r="I23" s="868" t="s">
        <v>1299</v>
      </c>
      <c r="J23" s="932">
        <v>20021</v>
      </c>
      <c r="K23" s="868" t="s">
        <v>29</v>
      </c>
      <c r="L23" s="868"/>
      <c r="M23" s="933"/>
    </row>
    <row r="24" spans="2:15" ht="20.100000000000001" customHeight="1" x14ac:dyDescent="0.25">
      <c r="G24" s="863"/>
      <c r="H24" s="931"/>
      <c r="I24" s="868"/>
      <c r="J24" s="932">
        <v>129548</v>
      </c>
      <c r="K24" s="868" t="s">
        <v>137</v>
      </c>
      <c r="L24" s="868"/>
      <c r="M24" s="933"/>
    </row>
    <row r="25" spans="2:15" ht="20.100000000000001" customHeight="1" x14ac:dyDescent="0.25">
      <c r="G25" s="863"/>
      <c r="H25" s="931"/>
      <c r="I25" s="868"/>
      <c r="J25" s="932"/>
      <c r="K25" s="868"/>
      <c r="L25" s="868"/>
      <c r="M25" s="933"/>
      <c r="O25" s="863"/>
    </row>
    <row r="26" spans="2:15" ht="20.100000000000001" customHeight="1" x14ac:dyDescent="0.2">
      <c r="G26" s="863"/>
      <c r="H26" s="934"/>
      <c r="I26" s="868"/>
      <c r="J26" s="935">
        <f>SUM(J23:J25)</f>
        <v>149569</v>
      </c>
      <c r="K26" s="868"/>
      <c r="L26" s="868"/>
      <c r="M26" s="933"/>
    </row>
    <row r="27" spans="2:15" ht="30.75" customHeight="1" x14ac:dyDescent="0.25">
      <c r="G27" s="863"/>
      <c r="H27" s="936"/>
      <c r="I27" s="868"/>
      <c r="J27" s="932">
        <f>+F21-J26</f>
        <v>0</v>
      </c>
      <c r="K27" s="868"/>
      <c r="L27" s="868"/>
      <c r="M27" s="933"/>
    </row>
    <row r="28" spans="2:15" ht="20.100000000000001" customHeight="1" x14ac:dyDescent="0.25">
      <c r="G28" s="863"/>
      <c r="H28" s="931"/>
      <c r="I28" s="868"/>
      <c r="J28" s="868"/>
      <c r="K28" s="868"/>
      <c r="L28" s="868"/>
      <c r="M28" s="937"/>
    </row>
    <row r="29" spans="2:15" ht="14.25" customHeight="1" x14ac:dyDescent="0.25">
      <c r="G29" s="863"/>
      <c r="H29" s="938"/>
      <c r="I29" s="868"/>
      <c r="J29" s="868"/>
      <c r="K29" s="868"/>
      <c r="L29" s="868"/>
      <c r="M29" s="932"/>
    </row>
    <row r="30" spans="2:15" x14ac:dyDescent="0.2">
      <c r="G30" s="863"/>
      <c r="I30" s="868"/>
      <c r="J30" s="868"/>
      <c r="K30" s="868"/>
      <c r="L30" s="868"/>
      <c r="M30" s="932"/>
    </row>
    <row r="31" spans="2:15" x14ac:dyDescent="0.2">
      <c r="G31" s="863"/>
      <c r="H31" s="863"/>
      <c r="I31" s="868"/>
      <c r="J31" s="868"/>
      <c r="K31" s="868"/>
      <c r="L31" s="868"/>
      <c r="M31" s="868"/>
    </row>
    <row r="32" spans="2:15" x14ac:dyDescent="0.2">
      <c r="G32" s="863"/>
      <c r="H32" s="863"/>
      <c r="I32" s="932"/>
      <c r="J32" s="868"/>
      <c r="K32" s="868"/>
      <c r="L32" s="868"/>
      <c r="M32" s="868"/>
    </row>
    <row r="33" spans="7:16" x14ac:dyDescent="0.2">
      <c r="G33" s="863"/>
      <c r="H33" s="932"/>
    </row>
    <row r="34" spans="7:16" x14ac:dyDescent="0.2">
      <c r="G34" s="863"/>
      <c r="H34" s="863"/>
      <c r="L34" s="863"/>
    </row>
    <row r="35" spans="7:16" x14ac:dyDescent="0.2">
      <c r="G35" s="863"/>
      <c r="H35" s="863"/>
      <c r="I35" s="863"/>
      <c r="L35" s="863"/>
    </row>
    <row r="36" spans="7:16" x14ac:dyDescent="0.2">
      <c r="G36" s="863"/>
      <c r="H36" s="863"/>
      <c r="I36" s="863"/>
      <c r="P36" s="939"/>
    </row>
    <row r="37" spans="7:16" x14ac:dyDescent="0.2">
      <c r="H37" s="863"/>
      <c r="I37" s="863"/>
      <c r="P37" s="940"/>
    </row>
    <row r="38" spans="7:16" x14ac:dyDescent="0.2">
      <c r="H38" s="863"/>
      <c r="I38" s="863"/>
      <c r="P38" s="940"/>
    </row>
    <row r="39" spans="7:16" x14ac:dyDescent="0.2">
      <c r="H39" s="863"/>
      <c r="I39" s="932"/>
      <c r="L39" s="868"/>
      <c r="P39" s="940"/>
    </row>
    <row r="40" spans="7:16" x14ac:dyDescent="0.2">
      <c r="H40" s="863"/>
      <c r="I40" s="932"/>
      <c r="L40" s="932"/>
      <c r="P40" s="940"/>
    </row>
    <row r="41" spans="7:16" x14ac:dyDescent="0.2">
      <c r="H41" s="863"/>
      <c r="P41" s="940"/>
    </row>
    <row r="42" spans="7:16" x14ac:dyDescent="0.2">
      <c r="H42" s="863"/>
      <c r="P42" s="940"/>
    </row>
    <row r="43" spans="7:16" x14ac:dyDescent="0.2">
      <c r="H43" s="863"/>
      <c r="P43" s="940"/>
    </row>
    <row r="44" spans="7:16" x14ac:dyDescent="0.2">
      <c r="H44" s="863"/>
      <c r="P44" s="940"/>
    </row>
    <row r="45" spans="7:16" x14ac:dyDescent="0.2">
      <c r="P45" s="939"/>
    </row>
    <row r="46" spans="7:16" x14ac:dyDescent="0.2">
      <c r="P46" s="863"/>
    </row>
    <row r="47" spans="7:16" x14ac:dyDescent="0.2">
      <c r="P47" s="863"/>
    </row>
  </sheetData>
  <mergeCells count="5"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verticalDpi="300" r:id="rId1"/>
  <headerFooter alignWithMargins="0">
    <oddHeader xml:space="preserve">&amp;R&amp;"Arial,Félkövér"&amp;16  26. melléklet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zoomScaleNormal="100" workbookViewId="0">
      <selection activeCell="B1" sqref="B1:E1"/>
    </sheetView>
  </sheetViews>
  <sheetFormatPr defaultColWidth="10.6640625" defaultRowHeight="12.75" x14ac:dyDescent="0.2"/>
  <cols>
    <col min="1" max="1" width="4.33203125" style="941" customWidth="1"/>
    <col min="2" max="2" width="5.5" style="941" customWidth="1"/>
    <col min="3" max="3" width="10.6640625" style="941" customWidth="1"/>
    <col min="4" max="4" width="48.6640625" style="941" customWidth="1"/>
    <col min="5" max="5" width="16.83203125" style="941" customWidth="1"/>
    <col min="6" max="7" width="12.5" style="941" customWidth="1"/>
    <col min="8" max="8" width="13.6640625" style="941" customWidth="1"/>
    <col min="9" max="9" width="16.33203125" style="941" customWidth="1"/>
    <col min="10" max="10" width="13.6640625" style="941" customWidth="1"/>
    <col min="11" max="11" width="15.5" style="941" customWidth="1"/>
    <col min="12" max="16384" width="10.6640625" style="941"/>
  </cols>
  <sheetData>
    <row r="2" spans="1:11" ht="21" customHeight="1" x14ac:dyDescent="0.25">
      <c r="A2" s="2757" t="s">
        <v>1230</v>
      </c>
      <c r="B2" s="2757"/>
      <c r="C2" s="2757"/>
      <c r="D2" s="2757"/>
      <c r="E2" s="2757"/>
      <c r="F2" s="2757"/>
      <c r="G2" s="2757"/>
      <c r="H2" s="2757"/>
      <c r="I2" s="2757"/>
      <c r="J2" s="2757"/>
      <c r="K2" s="2757"/>
    </row>
    <row r="3" spans="1:11" x14ac:dyDescent="0.2">
      <c r="A3" s="942"/>
      <c r="B3" s="942"/>
      <c r="C3" s="942"/>
      <c r="D3" s="942"/>
      <c r="E3" s="942"/>
      <c r="F3" s="942"/>
      <c r="G3" s="942"/>
      <c r="H3" s="942"/>
      <c r="I3" s="942"/>
      <c r="J3" s="942"/>
      <c r="K3" s="942"/>
    </row>
    <row r="4" spans="1:11" ht="13.5" thickBot="1" x14ac:dyDescent="0.25">
      <c r="A4" s="2758"/>
      <c r="B4" s="2758"/>
      <c r="C4" s="2758"/>
      <c r="D4" s="2758"/>
      <c r="E4" s="2758"/>
      <c r="F4" s="2758"/>
      <c r="G4" s="2758"/>
      <c r="H4" s="2758"/>
      <c r="I4" s="2758"/>
      <c r="J4" s="2758"/>
      <c r="K4" s="943"/>
    </row>
    <row r="5" spans="1:11" x14ac:dyDescent="0.2">
      <c r="A5" s="2759" t="s">
        <v>665</v>
      </c>
      <c r="B5" s="2760"/>
      <c r="C5" s="2765" t="s">
        <v>59</v>
      </c>
      <c r="D5" s="2760"/>
      <c r="E5" s="2768" t="s">
        <v>934</v>
      </c>
      <c r="F5" s="2769"/>
      <c r="G5" s="2769"/>
      <c r="H5" s="2769"/>
      <c r="I5" s="2769"/>
      <c r="J5" s="2769"/>
      <c r="K5" s="2770"/>
    </row>
    <row r="6" spans="1:11" x14ac:dyDescent="0.2">
      <c r="A6" s="2761"/>
      <c r="B6" s="2762"/>
      <c r="C6" s="2766"/>
      <c r="D6" s="2762"/>
      <c r="E6" s="2771" t="s">
        <v>935</v>
      </c>
      <c r="F6" s="2772"/>
      <c r="G6" s="2773"/>
      <c r="H6" s="2771" t="s">
        <v>936</v>
      </c>
      <c r="I6" s="2772"/>
      <c r="J6" s="2772"/>
      <c r="K6" s="2774"/>
    </row>
    <row r="7" spans="1:11" x14ac:dyDescent="0.2">
      <c r="A7" s="2761"/>
      <c r="B7" s="2762"/>
      <c r="C7" s="2766"/>
      <c r="D7" s="2762"/>
      <c r="E7" s="2775" t="s">
        <v>937</v>
      </c>
      <c r="F7" s="2777" t="s">
        <v>938</v>
      </c>
      <c r="G7" s="2778"/>
      <c r="H7" s="2781" t="s">
        <v>939</v>
      </c>
      <c r="I7" s="2782"/>
      <c r="J7" s="2777" t="s">
        <v>940</v>
      </c>
      <c r="K7" s="2783"/>
    </row>
    <row r="8" spans="1:11" x14ac:dyDescent="0.2">
      <c r="A8" s="2761"/>
      <c r="B8" s="2762"/>
      <c r="C8" s="2766"/>
      <c r="D8" s="2762"/>
      <c r="E8" s="2776"/>
      <c r="F8" s="2779"/>
      <c r="G8" s="2780"/>
      <c r="H8" s="2785" t="s">
        <v>941</v>
      </c>
      <c r="I8" s="2786"/>
      <c r="J8" s="2779"/>
      <c r="K8" s="2784"/>
    </row>
    <row r="9" spans="1:11" x14ac:dyDescent="0.2">
      <c r="A9" s="2761"/>
      <c r="B9" s="2762"/>
      <c r="C9" s="2766"/>
      <c r="D9" s="2762"/>
      <c r="E9" s="944" t="s">
        <v>942</v>
      </c>
      <c r="F9" s="944" t="s">
        <v>943</v>
      </c>
      <c r="G9" s="944" t="s">
        <v>944</v>
      </c>
      <c r="H9" s="944" t="s">
        <v>945</v>
      </c>
      <c r="I9" s="944" t="s">
        <v>946</v>
      </c>
      <c r="J9" s="944" t="s">
        <v>945</v>
      </c>
      <c r="K9" s="945" t="s">
        <v>946</v>
      </c>
    </row>
    <row r="10" spans="1:11" ht="13.5" thickBot="1" x14ac:dyDescent="0.25">
      <c r="A10" s="2763"/>
      <c r="B10" s="2764"/>
      <c r="C10" s="2767"/>
      <c r="D10" s="2764"/>
      <c r="E10" s="946" t="s">
        <v>947</v>
      </c>
      <c r="F10" s="946" t="s">
        <v>948</v>
      </c>
      <c r="G10" s="946" t="s">
        <v>949</v>
      </c>
      <c r="H10" s="946" t="s">
        <v>950</v>
      </c>
      <c r="I10" s="946" t="s">
        <v>951</v>
      </c>
      <c r="J10" s="946" t="s">
        <v>952</v>
      </c>
      <c r="K10" s="947" t="s">
        <v>953</v>
      </c>
    </row>
    <row r="11" spans="1:11" ht="15" customHeight="1" x14ac:dyDescent="0.2">
      <c r="A11" s="2787" t="s">
        <v>954</v>
      </c>
      <c r="B11" s="2788"/>
      <c r="C11" s="2789" t="s">
        <v>955</v>
      </c>
      <c r="D11" s="2790"/>
      <c r="E11" s="948">
        <v>4000</v>
      </c>
      <c r="F11" s="949">
        <v>1756</v>
      </c>
      <c r="G11" s="950">
        <v>4796</v>
      </c>
      <c r="H11" s="951">
        <v>3984</v>
      </c>
      <c r="I11" s="948">
        <v>73628071</v>
      </c>
      <c r="J11" s="949">
        <v>3992</v>
      </c>
      <c r="K11" s="952">
        <v>102722401</v>
      </c>
    </row>
    <row r="12" spans="1:11" ht="15" customHeight="1" x14ac:dyDescent="0.2">
      <c r="A12" s="2791" t="s">
        <v>956</v>
      </c>
      <c r="B12" s="2792"/>
      <c r="C12" s="2793" t="s">
        <v>957</v>
      </c>
      <c r="D12" s="2794"/>
      <c r="E12" s="953">
        <v>20</v>
      </c>
      <c r="F12" s="954">
        <v>24</v>
      </c>
      <c r="G12" s="955">
        <v>2307</v>
      </c>
      <c r="H12" s="956">
        <v>20</v>
      </c>
      <c r="I12" s="953">
        <v>4342243</v>
      </c>
      <c r="J12" s="954">
        <v>20</v>
      </c>
      <c r="K12" s="957">
        <v>4231209</v>
      </c>
    </row>
    <row r="13" spans="1:11" ht="15" customHeight="1" x14ac:dyDescent="0.2">
      <c r="A13" s="2791" t="s">
        <v>958</v>
      </c>
      <c r="B13" s="2792"/>
      <c r="C13" s="2793" t="s">
        <v>959</v>
      </c>
      <c r="D13" s="2794"/>
      <c r="E13" s="953">
        <v>1</v>
      </c>
      <c r="F13" s="954">
        <v>0</v>
      </c>
      <c r="G13" s="955">
        <v>0</v>
      </c>
      <c r="H13" s="956">
        <v>1</v>
      </c>
      <c r="I13" s="953">
        <v>145</v>
      </c>
      <c r="J13" s="954">
        <v>1</v>
      </c>
      <c r="K13" s="957">
        <v>2090</v>
      </c>
    </row>
    <row r="14" spans="1:11" ht="15" customHeight="1" x14ac:dyDescent="0.2">
      <c r="A14" s="2791" t="s">
        <v>960</v>
      </c>
      <c r="B14" s="2792"/>
      <c r="C14" s="2793" t="s">
        <v>961</v>
      </c>
      <c r="D14" s="2794"/>
      <c r="E14" s="953">
        <v>14</v>
      </c>
      <c r="F14" s="954"/>
      <c r="G14" s="955"/>
      <c r="H14" s="956">
        <v>14</v>
      </c>
      <c r="I14" s="953">
        <v>12737489</v>
      </c>
      <c r="J14" s="954">
        <v>14</v>
      </c>
      <c r="K14" s="957">
        <v>10603145</v>
      </c>
    </row>
    <row r="15" spans="1:11" ht="15" customHeight="1" thickBot="1" x14ac:dyDescent="0.25">
      <c r="A15" s="2795" t="s">
        <v>962</v>
      </c>
      <c r="B15" s="2796"/>
      <c r="C15" s="2797" t="s">
        <v>963</v>
      </c>
      <c r="D15" s="2798"/>
      <c r="E15" s="958">
        <v>4034</v>
      </c>
      <c r="F15" s="958">
        <v>1780</v>
      </c>
      <c r="G15" s="958">
        <v>7103</v>
      </c>
      <c r="H15" s="958">
        <f>H11+H12+H14</f>
        <v>4018</v>
      </c>
      <c r="I15" s="958">
        <v>90707803</v>
      </c>
      <c r="J15" s="958">
        <v>4026</v>
      </c>
      <c r="K15" s="959">
        <v>117568337</v>
      </c>
    </row>
    <row r="16" spans="1:11" ht="15" customHeight="1" x14ac:dyDescent="0.2">
      <c r="A16" s="2800" t="s">
        <v>964</v>
      </c>
      <c r="B16" s="2801"/>
      <c r="C16" s="960" t="s">
        <v>965</v>
      </c>
      <c r="D16" s="961"/>
      <c r="E16" s="962">
        <v>2188</v>
      </c>
      <c r="F16" s="963">
        <v>0</v>
      </c>
      <c r="G16" s="964">
        <v>0</v>
      </c>
      <c r="H16" s="965">
        <v>1795</v>
      </c>
      <c r="I16" s="962">
        <v>2422968</v>
      </c>
      <c r="J16" s="963">
        <v>1794</v>
      </c>
      <c r="K16" s="966">
        <v>10755727</v>
      </c>
    </row>
    <row r="17" spans="1:11" ht="15" customHeight="1" x14ac:dyDescent="0.2">
      <c r="A17" s="2802" t="s">
        <v>966</v>
      </c>
      <c r="B17" s="2788"/>
      <c r="C17" s="2789" t="s">
        <v>967</v>
      </c>
      <c r="D17" s="2790"/>
      <c r="E17" s="950">
        <v>0</v>
      </c>
      <c r="F17" s="949">
        <v>0</v>
      </c>
      <c r="G17" s="950">
        <v>0</v>
      </c>
      <c r="H17" s="951">
        <v>0</v>
      </c>
      <c r="I17" s="948">
        <v>0</v>
      </c>
      <c r="J17" s="949">
        <v>0</v>
      </c>
      <c r="K17" s="952">
        <v>0</v>
      </c>
    </row>
    <row r="18" spans="1:11" ht="15" customHeight="1" x14ac:dyDescent="0.2">
      <c r="A18" s="2799" t="s">
        <v>968</v>
      </c>
      <c r="B18" s="2792"/>
      <c r="C18" s="967" t="s">
        <v>969</v>
      </c>
      <c r="D18" s="968" t="s">
        <v>970</v>
      </c>
      <c r="E18" s="955">
        <v>3599</v>
      </c>
      <c r="F18" s="954">
        <v>885</v>
      </c>
      <c r="G18" s="955">
        <v>962</v>
      </c>
      <c r="H18" s="956">
        <v>3590</v>
      </c>
      <c r="I18" s="953">
        <v>88101301</v>
      </c>
      <c r="J18" s="954">
        <v>3591</v>
      </c>
      <c r="K18" s="957">
        <v>114530301</v>
      </c>
    </row>
    <row r="19" spans="1:11" ht="15" customHeight="1" x14ac:dyDescent="0.2">
      <c r="A19" s="2802" t="s">
        <v>971</v>
      </c>
      <c r="B19" s="2788"/>
      <c r="C19" s="969" t="s">
        <v>972</v>
      </c>
      <c r="D19" s="968" t="s">
        <v>973</v>
      </c>
      <c r="E19" s="955">
        <v>435</v>
      </c>
      <c r="F19" s="954">
        <v>895</v>
      </c>
      <c r="G19" s="955">
        <v>6141</v>
      </c>
      <c r="H19" s="956">
        <v>428</v>
      </c>
      <c r="I19" s="953">
        <v>2606502</v>
      </c>
      <c r="J19" s="954">
        <v>435</v>
      </c>
      <c r="K19" s="957">
        <v>3038036</v>
      </c>
    </row>
    <row r="20" spans="1:11" ht="15" customHeight="1" x14ac:dyDescent="0.2">
      <c r="A20" s="2803" t="s">
        <v>974</v>
      </c>
      <c r="B20" s="2804"/>
      <c r="C20" s="970"/>
      <c r="D20" s="971" t="s">
        <v>975</v>
      </c>
      <c r="E20" s="972">
        <v>1797</v>
      </c>
      <c r="F20" s="973">
        <v>776</v>
      </c>
      <c r="G20" s="972">
        <v>833</v>
      </c>
      <c r="H20" s="974">
        <v>1783</v>
      </c>
      <c r="I20" s="975">
        <v>48412632</v>
      </c>
      <c r="J20" s="973">
        <v>1791</v>
      </c>
      <c r="K20" s="976">
        <v>46657904</v>
      </c>
    </row>
    <row r="21" spans="1:11" ht="15" customHeight="1" x14ac:dyDescent="0.2">
      <c r="A21" s="2799" t="s">
        <v>976</v>
      </c>
      <c r="B21" s="2792"/>
      <c r="C21" s="977" t="s">
        <v>969</v>
      </c>
      <c r="D21" s="968" t="s">
        <v>977</v>
      </c>
      <c r="E21" s="978">
        <v>879</v>
      </c>
      <c r="F21" s="954">
        <v>423</v>
      </c>
      <c r="G21" s="955">
        <v>8899</v>
      </c>
      <c r="H21" s="956">
        <v>877</v>
      </c>
      <c r="I21" s="953">
        <v>38503744</v>
      </c>
      <c r="J21" s="954">
        <v>877</v>
      </c>
      <c r="K21" s="957">
        <v>60281916</v>
      </c>
    </row>
    <row r="22" spans="1:11" ht="15" customHeight="1" x14ac:dyDescent="0.2">
      <c r="A22" s="2802" t="s">
        <v>978</v>
      </c>
      <c r="B22" s="2788"/>
      <c r="C22" s="979" t="s">
        <v>972</v>
      </c>
      <c r="D22" s="980" t="s">
        <v>979</v>
      </c>
      <c r="E22" s="950">
        <v>1358</v>
      </c>
      <c r="F22" s="949">
        <v>580</v>
      </c>
      <c r="G22" s="950">
        <v>7371</v>
      </c>
      <c r="H22" s="951">
        <v>1358</v>
      </c>
      <c r="I22" s="948">
        <v>3791427</v>
      </c>
      <c r="J22" s="949">
        <v>1358</v>
      </c>
      <c r="K22" s="952">
        <v>10628517</v>
      </c>
    </row>
    <row r="23" spans="1:11" ht="15" customHeight="1" x14ac:dyDescent="0.2">
      <c r="A23" s="2799" t="s">
        <v>980</v>
      </c>
      <c r="B23" s="2792"/>
      <c r="C23" s="2793" t="s">
        <v>981</v>
      </c>
      <c r="D23" s="2794"/>
      <c r="E23" s="955">
        <v>1055</v>
      </c>
      <c r="F23" s="954">
        <v>1082</v>
      </c>
      <c r="G23" s="955">
        <v>7783</v>
      </c>
      <c r="H23" s="956">
        <v>1041</v>
      </c>
      <c r="I23" s="953">
        <v>17220361</v>
      </c>
      <c r="J23" s="954">
        <v>1049</v>
      </c>
      <c r="K23" s="957">
        <v>18510474</v>
      </c>
    </row>
    <row r="24" spans="1:11" ht="15" customHeight="1" x14ac:dyDescent="0.2">
      <c r="A24" s="2803" t="s">
        <v>982</v>
      </c>
      <c r="B24" s="2805"/>
      <c r="C24" s="971"/>
      <c r="D24" s="971" t="s">
        <v>983</v>
      </c>
      <c r="E24" s="972">
        <v>1035</v>
      </c>
      <c r="F24" s="973">
        <v>988</v>
      </c>
      <c r="G24" s="972">
        <v>3228</v>
      </c>
      <c r="H24" s="974">
        <v>1028</v>
      </c>
      <c r="I24" s="975">
        <v>17199547</v>
      </c>
      <c r="J24" s="973">
        <v>1029</v>
      </c>
      <c r="K24" s="976">
        <v>18489653</v>
      </c>
    </row>
    <row r="25" spans="1:11" ht="15" customHeight="1" x14ac:dyDescent="0.2">
      <c r="A25" s="2799" t="s">
        <v>984</v>
      </c>
      <c r="B25" s="2792"/>
      <c r="C25" s="981" t="s">
        <v>922</v>
      </c>
      <c r="D25" s="968" t="s">
        <v>985</v>
      </c>
      <c r="E25" s="978">
        <v>9</v>
      </c>
      <c r="F25" s="954">
        <v>0</v>
      </c>
      <c r="G25" s="955">
        <v>1018</v>
      </c>
      <c r="H25" s="956">
        <v>2</v>
      </c>
      <c r="I25" s="953">
        <v>5</v>
      </c>
      <c r="J25" s="954">
        <v>9</v>
      </c>
      <c r="K25" s="957">
        <v>12</v>
      </c>
    </row>
    <row r="26" spans="1:11" ht="15" customHeight="1" x14ac:dyDescent="0.2">
      <c r="A26" s="2802" t="s">
        <v>986</v>
      </c>
      <c r="B26" s="2806"/>
      <c r="C26" s="980" t="s">
        <v>972</v>
      </c>
      <c r="D26" s="980" t="s">
        <v>987</v>
      </c>
      <c r="E26" s="950">
        <v>11</v>
      </c>
      <c r="F26" s="949">
        <v>94</v>
      </c>
      <c r="G26" s="950">
        <v>3537</v>
      </c>
      <c r="H26" s="949">
        <v>11</v>
      </c>
      <c r="I26" s="950">
        <v>20809</v>
      </c>
      <c r="J26" s="949">
        <v>11</v>
      </c>
      <c r="K26" s="952">
        <v>20809</v>
      </c>
    </row>
    <row r="27" spans="1:11" ht="15" customHeight="1" x14ac:dyDescent="0.2">
      <c r="A27" s="2799" t="s">
        <v>988</v>
      </c>
      <c r="B27" s="2792"/>
      <c r="C27" s="2793" t="s">
        <v>989</v>
      </c>
      <c r="D27" s="2794"/>
      <c r="E27" s="955">
        <v>1164</v>
      </c>
      <c r="F27" s="954">
        <v>697</v>
      </c>
      <c r="G27" s="955">
        <v>9320</v>
      </c>
      <c r="H27" s="954">
        <v>1163</v>
      </c>
      <c r="I27" s="955">
        <v>70481418</v>
      </c>
      <c r="J27" s="954">
        <v>1164</v>
      </c>
      <c r="K27" s="957">
        <v>88188623</v>
      </c>
    </row>
    <row r="28" spans="1:11" ht="15" customHeight="1" x14ac:dyDescent="0.2">
      <c r="A28" s="2803" t="s">
        <v>990</v>
      </c>
      <c r="B28" s="2805"/>
      <c r="C28" s="971"/>
      <c r="D28" s="971" t="s">
        <v>983</v>
      </c>
      <c r="E28" s="972">
        <v>1148</v>
      </c>
      <c r="F28" s="973">
        <v>694</v>
      </c>
      <c r="G28" s="972">
        <v>3938</v>
      </c>
      <c r="H28" s="973">
        <v>1147</v>
      </c>
      <c r="I28" s="972">
        <v>70198423</v>
      </c>
      <c r="J28" s="973">
        <v>1148</v>
      </c>
      <c r="K28" s="976">
        <v>87732830</v>
      </c>
    </row>
    <row r="29" spans="1:11" ht="15" customHeight="1" x14ac:dyDescent="0.2">
      <c r="A29" s="2799" t="s">
        <v>991</v>
      </c>
      <c r="B29" s="2792"/>
      <c r="C29" s="981" t="s">
        <v>925</v>
      </c>
      <c r="D29" s="968" t="s">
        <v>985</v>
      </c>
      <c r="E29" s="978">
        <v>7</v>
      </c>
      <c r="F29" s="954">
        <v>0</v>
      </c>
      <c r="G29" s="955">
        <v>7487</v>
      </c>
      <c r="H29" s="954">
        <v>7</v>
      </c>
      <c r="I29" s="955">
        <v>41385</v>
      </c>
      <c r="J29" s="954">
        <v>7</v>
      </c>
      <c r="K29" s="957">
        <v>41385</v>
      </c>
    </row>
    <row r="30" spans="1:11" ht="15" customHeight="1" x14ac:dyDescent="0.2">
      <c r="A30" s="2799" t="s">
        <v>992</v>
      </c>
      <c r="B30" s="2792"/>
      <c r="C30" s="982" t="s">
        <v>972</v>
      </c>
      <c r="D30" s="968" t="s">
        <v>987</v>
      </c>
      <c r="E30" s="978">
        <v>5</v>
      </c>
      <c r="F30" s="954">
        <v>1</v>
      </c>
      <c r="G30" s="955">
        <v>8586</v>
      </c>
      <c r="H30" s="954">
        <v>5</v>
      </c>
      <c r="I30" s="955">
        <v>149507</v>
      </c>
      <c r="J30" s="954">
        <v>5</v>
      </c>
      <c r="K30" s="957">
        <v>181198</v>
      </c>
    </row>
    <row r="31" spans="1:11" ht="15" customHeight="1" x14ac:dyDescent="0.2">
      <c r="A31" s="2799" t="s">
        <v>993</v>
      </c>
      <c r="B31" s="2792"/>
      <c r="C31" s="980"/>
      <c r="D31" s="980" t="s">
        <v>994</v>
      </c>
      <c r="E31" s="950">
        <v>4</v>
      </c>
      <c r="F31" s="949">
        <v>0</v>
      </c>
      <c r="G31" s="950">
        <v>9309</v>
      </c>
      <c r="H31" s="949">
        <v>4</v>
      </c>
      <c r="I31" s="950">
        <v>92103</v>
      </c>
      <c r="J31" s="949">
        <v>4</v>
      </c>
      <c r="K31" s="952">
        <v>233210</v>
      </c>
    </row>
    <row r="32" spans="1:11" ht="15" customHeight="1" x14ac:dyDescent="0.2">
      <c r="A32" s="2799" t="s">
        <v>995</v>
      </c>
      <c r="B32" s="2792"/>
      <c r="C32" s="2793" t="s">
        <v>996</v>
      </c>
      <c r="D32" s="2794"/>
      <c r="E32" s="955">
        <v>1815</v>
      </c>
      <c r="F32" s="954"/>
      <c r="G32" s="955"/>
      <c r="H32" s="954">
        <v>1814</v>
      </c>
      <c r="I32" s="955">
        <v>3006024</v>
      </c>
      <c r="J32" s="954">
        <v>1813</v>
      </c>
      <c r="K32" s="957">
        <v>10869240</v>
      </c>
    </row>
    <row r="33" spans="1:11" ht="15" customHeight="1" x14ac:dyDescent="0.2">
      <c r="A33" s="2803" t="s">
        <v>997</v>
      </c>
      <c r="B33" s="2805"/>
      <c r="C33" s="971"/>
      <c r="D33" s="971" t="s">
        <v>983</v>
      </c>
      <c r="E33" s="972">
        <v>1809</v>
      </c>
      <c r="F33" s="973"/>
      <c r="G33" s="972"/>
      <c r="H33" s="973">
        <v>1808</v>
      </c>
      <c r="I33" s="972">
        <v>2997419</v>
      </c>
      <c r="J33" s="973">
        <v>1807</v>
      </c>
      <c r="K33" s="976">
        <v>10831177</v>
      </c>
    </row>
    <row r="34" spans="1:11" ht="15" customHeight="1" x14ac:dyDescent="0.2">
      <c r="A34" s="2799" t="s">
        <v>998</v>
      </c>
      <c r="B34" s="2792"/>
      <c r="C34" s="981" t="s">
        <v>999</v>
      </c>
      <c r="D34" s="968" t="s">
        <v>985</v>
      </c>
      <c r="E34" s="978">
        <v>0</v>
      </c>
      <c r="F34" s="954"/>
      <c r="G34" s="955"/>
      <c r="H34" s="954">
        <v>0</v>
      </c>
      <c r="I34" s="955">
        <v>0</v>
      </c>
      <c r="J34" s="954">
        <v>0</v>
      </c>
      <c r="K34" s="957">
        <v>0</v>
      </c>
    </row>
    <row r="35" spans="1:11" ht="15" customHeight="1" x14ac:dyDescent="0.2">
      <c r="A35" s="2802" t="s">
        <v>1000</v>
      </c>
      <c r="B35" s="2806"/>
      <c r="C35" s="980" t="s">
        <v>972</v>
      </c>
      <c r="D35" s="980" t="s">
        <v>987</v>
      </c>
      <c r="E35" s="950">
        <v>6</v>
      </c>
      <c r="F35" s="949"/>
      <c r="G35" s="950"/>
      <c r="H35" s="949">
        <v>6</v>
      </c>
      <c r="I35" s="950">
        <v>8605</v>
      </c>
      <c r="J35" s="949">
        <v>6</v>
      </c>
      <c r="K35" s="952">
        <v>38063</v>
      </c>
    </row>
    <row r="36" spans="1:11" ht="15" customHeight="1" x14ac:dyDescent="0.2">
      <c r="A36" s="2803" t="s">
        <v>1001</v>
      </c>
      <c r="B36" s="2805"/>
      <c r="C36" s="983"/>
      <c r="D36" s="984" t="s">
        <v>1002</v>
      </c>
      <c r="E36" s="972">
        <v>26</v>
      </c>
      <c r="F36" s="973">
        <v>613</v>
      </c>
      <c r="G36" s="972">
        <v>9928</v>
      </c>
      <c r="H36" s="973">
        <v>19</v>
      </c>
      <c r="I36" s="972">
        <v>613433</v>
      </c>
      <c r="J36" s="973">
        <v>26</v>
      </c>
      <c r="K36" s="976">
        <v>1029597</v>
      </c>
    </row>
    <row r="37" spans="1:11" ht="15" customHeight="1" x14ac:dyDescent="0.2">
      <c r="A37" s="2799" t="s">
        <v>1003</v>
      </c>
      <c r="B37" s="2792"/>
      <c r="C37" s="982" t="s">
        <v>1004</v>
      </c>
      <c r="D37" s="985" t="s">
        <v>1005</v>
      </c>
      <c r="E37" s="978">
        <v>6</v>
      </c>
      <c r="F37" s="954">
        <v>9</v>
      </c>
      <c r="G37" s="955">
        <v>8414</v>
      </c>
      <c r="H37" s="954">
        <v>6</v>
      </c>
      <c r="I37" s="955">
        <v>745096</v>
      </c>
      <c r="J37" s="954">
        <v>6</v>
      </c>
      <c r="K37" s="957">
        <v>747081</v>
      </c>
    </row>
    <row r="38" spans="1:11" ht="15" customHeight="1" thickBot="1" x14ac:dyDescent="0.25">
      <c r="A38" s="2807">
        <v>28</v>
      </c>
      <c r="B38" s="2808"/>
      <c r="C38" s="986" t="s">
        <v>972</v>
      </c>
      <c r="D38" s="987" t="s">
        <v>1006</v>
      </c>
      <c r="E38" s="988">
        <v>303</v>
      </c>
      <c r="F38" s="989">
        <v>71</v>
      </c>
      <c r="G38" s="988">
        <v>2471</v>
      </c>
      <c r="H38" s="989">
        <v>303</v>
      </c>
      <c r="I38" s="988">
        <v>9292039</v>
      </c>
      <c r="J38" s="989">
        <v>303</v>
      </c>
      <c r="K38" s="990">
        <v>13034964</v>
      </c>
    </row>
  </sheetData>
  <mergeCells count="49">
    <mergeCell ref="A36:B36"/>
    <mergeCell ref="A37:B37"/>
    <mergeCell ref="A38:B38"/>
    <mergeCell ref="A31:B31"/>
    <mergeCell ref="A32:B32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A11:B11"/>
    <mergeCell ref="C11:D11"/>
    <mergeCell ref="A12:B12"/>
    <mergeCell ref="C12:D12"/>
    <mergeCell ref="A13:B13"/>
    <mergeCell ref="C13:D13"/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zoomScale="75" zoomScaleNormal="75" workbookViewId="0">
      <selection activeCell="B1" sqref="B1:E1"/>
    </sheetView>
  </sheetViews>
  <sheetFormatPr defaultColWidth="10.6640625" defaultRowHeight="15" x14ac:dyDescent="0.2"/>
  <cols>
    <col min="1" max="1" width="10.6640625" style="992"/>
    <col min="2" max="2" width="11.5" style="991" customWidth="1"/>
    <col min="3" max="3" width="8.83203125" style="992" customWidth="1"/>
    <col min="4" max="4" width="118" style="992" customWidth="1"/>
    <col min="5" max="5" width="26" style="992" customWidth="1"/>
    <col min="6" max="6" width="23.5" style="992" customWidth="1"/>
    <col min="7" max="7" width="24.1640625" style="992" customWidth="1"/>
    <col min="8" max="8" width="16.6640625" style="993" bestFit="1" customWidth="1"/>
    <col min="9" max="9" width="19.83203125" style="992" bestFit="1" customWidth="1"/>
    <col min="10" max="10" width="18.83203125" style="992" customWidth="1"/>
    <col min="11" max="16384" width="10.6640625" style="992"/>
  </cols>
  <sheetData>
    <row r="1" spans="2:10" ht="18" x14ac:dyDescent="0.25">
      <c r="I1" s="998"/>
    </row>
    <row r="2" spans="2:10" ht="18" x14ac:dyDescent="0.25">
      <c r="E2" s="864"/>
      <c r="F2" s="993"/>
    </row>
    <row r="5" spans="2:10" ht="21.75" customHeight="1" x14ac:dyDescent="0.3">
      <c r="B5" s="2812" t="s">
        <v>1304</v>
      </c>
      <c r="C5" s="2812"/>
      <c r="D5" s="2812"/>
      <c r="E5" s="2812"/>
      <c r="F5" s="2812"/>
      <c r="G5" s="2812"/>
    </row>
    <row r="6" spans="2:10" ht="15.75" thickBot="1" x14ac:dyDescent="0.25">
      <c r="G6" s="994" t="s">
        <v>38</v>
      </c>
    </row>
    <row r="7" spans="2:10" s="998" customFormat="1" ht="20.100000000000001" customHeight="1" thickBot="1" x14ac:dyDescent="0.3">
      <c r="B7" s="995" t="s">
        <v>699</v>
      </c>
      <c r="C7" s="996"/>
      <c r="D7" s="996"/>
      <c r="E7" s="2813"/>
      <c r="F7" s="2814"/>
      <c r="G7" s="2815"/>
      <c r="H7" s="997"/>
    </row>
    <row r="8" spans="2:10" ht="20.100000000000001" customHeight="1" thickBot="1" x14ac:dyDescent="0.3">
      <c r="B8" s="999"/>
      <c r="C8" s="1000"/>
      <c r="D8" s="1000"/>
      <c r="E8" s="1001" t="s">
        <v>1007</v>
      </c>
      <c r="F8" s="1002" t="s">
        <v>1008</v>
      </c>
      <c r="G8" s="1003" t="s">
        <v>1009</v>
      </c>
    </row>
    <row r="9" spans="2:10" s="1009" customFormat="1" ht="20.100000000000001" customHeight="1" thickBot="1" x14ac:dyDescent="0.35">
      <c r="B9" s="1004" t="s">
        <v>1010</v>
      </c>
      <c r="C9" s="1005" t="s">
        <v>1011</v>
      </c>
      <c r="D9" s="1005"/>
      <c r="E9" s="1006">
        <f>+E10+E16+E46+E50</f>
        <v>94746585</v>
      </c>
      <c r="F9" s="1006">
        <f>+F10+F16+F46+F50</f>
        <v>24240628</v>
      </c>
      <c r="G9" s="1007">
        <f>+G10+G16+G46+G50</f>
        <v>78031924</v>
      </c>
      <c r="H9" s="1008"/>
    </row>
    <row r="10" spans="2:10" s="1015" customFormat="1" ht="20.100000000000001" customHeight="1" thickBot="1" x14ac:dyDescent="0.35">
      <c r="B10" s="1010" t="s">
        <v>711</v>
      </c>
      <c r="C10" s="1011" t="s">
        <v>1012</v>
      </c>
      <c r="D10" s="1011"/>
      <c r="E10" s="1012">
        <f>SUM(E12:E14)</f>
        <v>741140</v>
      </c>
      <c r="F10" s="1012">
        <f>SUM(F12:F14)</f>
        <v>670630</v>
      </c>
      <c r="G10" s="1013">
        <f>SUM(G12:G14)</f>
        <v>70510</v>
      </c>
      <c r="H10" s="1014"/>
      <c r="I10" s="1009"/>
    </row>
    <row r="11" spans="2:10" s="1021" customFormat="1" ht="20.100000000000001" customHeight="1" x14ac:dyDescent="0.25">
      <c r="B11" s="1016" t="s">
        <v>1013</v>
      </c>
      <c r="C11" s="1017" t="s">
        <v>703</v>
      </c>
      <c r="D11" s="1017"/>
      <c r="E11" s="1018">
        <f>SUM(E12:E13)</f>
        <v>515743</v>
      </c>
      <c r="F11" s="1018">
        <f>SUM(F12:F13)</f>
        <v>448083</v>
      </c>
      <c r="G11" s="1019">
        <f>SUM(G12:G13)</f>
        <v>67660</v>
      </c>
      <c r="H11" s="1020"/>
      <c r="J11" s="1015"/>
    </row>
    <row r="12" spans="2:10" s="1026" customFormat="1" ht="20.100000000000001" customHeight="1" x14ac:dyDescent="0.25">
      <c r="B12" s="1022"/>
      <c r="C12" s="1023" t="s">
        <v>1014</v>
      </c>
      <c r="D12" s="1023"/>
      <c r="E12" s="1024">
        <v>515743</v>
      </c>
      <c r="F12" s="1023">
        <v>448083</v>
      </c>
      <c r="G12" s="1025">
        <f>E12-F12</f>
        <v>67660</v>
      </c>
      <c r="H12" s="1020"/>
      <c r="I12" s="1021"/>
      <c r="J12" s="1015"/>
    </row>
    <row r="13" spans="2:10" s="1026" customFormat="1" ht="20.100000000000001" customHeight="1" x14ac:dyDescent="0.25">
      <c r="B13" s="1027"/>
      <c r="C13" s="1028" t="s">
        <v>1015</v>
      </c>
      <c r="D13" s="1028"/>
      <c r="E13" s="1029">
        <v>0</v>
      </c>
      <c r="F13" s="1028">
        <v>0</v>
      </c>
      <c r="G13" s="1030">
        <f>E13-F13</f>
        <v>0</v>
      </c>
      <c r="H13" s="1020"/>
      <c r="I13" s="1021"/>
      <c r="J13" s="1015"/>
    </row>
    <row r="14" spans="2:10" s="1021" customFormat="1" ht="20.100000000000001" customHeight="1" x14ac:dyDescent="0.25">
      <c r="B14" s="1031" t="s">
        <v>709</v>
      </c>
      <c r="C14" s="1032" t="s">
        <v>708</v>
      </c>
      <c r="D14" s="1032"/>
      <c r="E14" s="1033">
        <f>SUM(E15)</f>
        <v>225397</v>
      </c>
      <c r="F14" s="1033">
        <f>SUM(F15)</f>
        <v>222547</v>
      </c>
      <c r="G14" s="1034">
        <f>SUM(G15)</f>
        <v>2850</v>
      </c>
      <c r="H14" s="1020"/>
      <c r="J14" s="1015"/>
    </row>
    <row r="15" spans="2:10" s="1026" customFormat="1" ht="20.100000000000001" customHeight="1" thickBot="1" x14ac:dyDescent="0.3">
      <c r="B15" s="1027"/>
      <c r="C15" s="1028" t="s">
        <v>1014</v>
      </c>
      <c r="D15" s="1028"/>
      <c r="E15" s="1029">
        <v>225397</v>
      </c>
      <c r="F15" s="1028">
        <v>222547</v>
      </c>
      <c r="G15" s="1030">
        <f>E15-F15</f>
        <v>2850</v>
      </c>
      <c r="H15" s="1020"/>
      <c r="I15" s="1021"/>
      <c r="J15" s="1015"/>
    </row>
    <row r="16" spans="2:10" s="1015" customFormat="1" ht="20.100000000000001" customHeight="1" thickBot="1" x14ac:dyDescent="0.3">
      <c r="B16" s="1010" t="s">
        <v>723</v>
      </c>
      <c r="C16" s="1011" t="s">
        <v>1016</v>
      </c>
      <c r="D16" s="1011"/>
      <c r="E16" s="1012">
        <f>+E17+E37+E41+E42</f>
        <v>94005445</v>
      </c>
      <c r="F16" s="1012">
        <f>+F17+F37+F41+F42</f>
        <v>23569998</v>
      </c>
      <c r="G16" s="1035">
        <f>E16-F16</f>
        <v>70435447</v>
      </c>
      <c r="H16" s="1014"/>
    </row>
    <row r="17" spans="2:10" s="1041" customFormat="1" ht="20.100000000000001" customHeight="1" x14ac:dyDescent="0.25">
      <c r="B17" s="1036" t="s">
        <v>714</v>
      </c>
      <c r="C17" s="1037" t="s">
        <v>713</v>
      </c>
      <c r="D17" s="1037"/>
      <c r="E17" s="1038">
        <f>+E18+E25+E33</f>
        <v>87261238</v>
      </c>
      <c r="F17" s="1038">
        <f>+F18+F25+F33</f>
        <v>19586360</v>
      </c>
      <c r="G17" s="1039">
        <f>+G18+G25+G33</f>
        <v>67674878</v>
      </c>
      <c r="H17" s="1040"/>
      <c r="J17" s="1015"/>
    </row>
    <row r="18" spans="2:10" s="1048" customFormat="1" ht="20.100000000000001" customHeight="1" x14ac:dyDescent="0.25">
      <c r="B18" s="1042"/>
      <c r="C18" s="1043" t="s">
        <v>1017</v>
      </c>
      <c r="D18" s="1044"/>
      <c r="E18" s="1045">
        <f>SUM(E19:E24)</f>
        <v>45937646</v>
      </c>
      <c r="F18" s="1045">
        <f>SUM(F19:F24)</f>
        <v>10579608</v>
      </c>
      <c r="G18" s="1046">
        <f>SUM(G19:G24)</f>
        <v>35358038</v>
      </c>
      <c r="H18" s="1047"/>
      <c r="J18" s="1015"/>
    </row>
    <row r="19" spans="2:10" s="1026" customFormat="1" ht="20.100000000000001" customHeight="1" x14ac:dyDescent="0.25">
      <c r="B19" s="1027"/>
      <c r="C19" s="1049" t="s">
        <v>1018</v>
      </c>
      <c r="D19" s="1028" t="s">
        <v>1019</v>
      </c>
      <c r="E19" s="1029">
        <v>33398185</v>
      </c>
      <c r="F19" s="1028">
        <v>8351991</v>
      </c>
      <c r="G19" s="1030">
        <f t="shared" ref="G19:G24" si="0">E19-F19</f>
        <v>25046194</v>
      </c>
      <c r="H19" s="1020"/>
      <c r="I19" s="1021"/>
      <c r="J19" s="1015"/>
    </row>
    <row r="20" spans="2:10" s="1026" customFormat="1" ht="20.100000000000001" customHeight="1" x14ac:dyDescent="0.25">
      <c r="B20" s="1022"/>
      <c r="C20" s="1050" t="s">
        <v>1018</v>
      </c>
      <c r="D20" s="1023" t="s">
        <v>1020</v>
      </c>
      <c r="E20" s="1024">
        <v>10504903</v>
      </c>
      <c r="F20" s="1023">
        <v>2098267</v>
      </c>
      <c r="G20" s="1025">
        <f t="shared" si="0"/>
        <v>8406636</v>
      </c>
      <c r="H20" s="1020"/>
      <c r="I20" s="1021"/>
      <c r="J20" s="1015"/>
    </row>
    <row r="21" spans="2:10" s="1026" customFormat="1" ht="20.100000000000001" customHeight="1" x14ac:dyDescent="0.25">
      <c r="B21" s="1022"/>
      <c r="C21" s="1050" t="s">
        <v>1018</v>
      </c>
      <c r="D21" s="1023" t="s">
        <v>1021</v>
      </c>
      <c r="E21" s="1024">
        <v>723516</v>
      </c>
      <c r="F21" s="1023">
        <v>45602</v>
      </c>
      <c r="G21" s="1025">
        <f t="shared" si="0"/>
        <v>677914</v>
      </c>
      <c r="H21" s="1020"/>
      <c r="I21" s="1021"/>
      <c r="J21" s="1015"/>
    </row>
    <row r="22" spans="2:10" s="1026" customFormat="1" ht="20.100000000000001" customHeight="1" x14ac:dyDescent="0.25">
      <c r="B22" s="1022"/>
      <c r="C22" s="1050" t="s">
        <v>1018</v>
      </c>
      <c r="D22" s="1023" t="s">
        <v>1022</v>
      </c>
      <c r="E22" s="1024">
        <v>689806</v>
      </c>
      <c r="F22" s="1023">
        <v>123</v>
      </c>
      <c r="G22" s="1025">
        <f t="shared" si="0"/>
        <v>689683</v>
      </c>
      <c r="H22" s="1020"/>
      <c r="I22" s="1021"/>
      <c r="J22" s="1015"/>
    </row>
    <row r="23" spans="2:10" s="1026" customFormat="1" ht="20.100000000000001" customHeight="1" x14ac:dyDescent="0.25">
      <c r="B23" s="1022"/>
      <c r="C23" s="1050" t="s">
        <v>1018</v>
      </c>
      <c r="D23" s="1023" t="s">
        <v>1023</v>
      </c>
      <c r="E23" s="1024">
        <f>66139+150111+76094</f>
        <v>292344</v>
      </c>
      <c r="F23" s="1023">
        <f>5016+21952+13553</f>
        <v>40521</v>
      </c>
      <c r="G23" s="1025">
        <f t="shared" si="0"/>
        <v>251823</v>
      </c>
      <c r="H23" s="1020"/>
      <c r="I23" s="1021"/>
      <c r="J23" s="1015"/>
    </row>
    <row r="24" spans="2:10" s="1026" customFormat="1" ht="38.25" customHeight="1" x14ac:dyDescent="0.25">
      <c r="B24" s="1027"/>
      <c r="C24" s="1051" t="s">
        <v>1018</v>
      </c>
      <c r="D24" s="1052" t="s">
        <v>1024</v>
      </c>
      <c r="E24" s="1029">
        <v>328892</v>
      </c>
      <c r="F24" s="1028">
        <v>43104</v>
      </c>
      <c r="G24" s="1030">
        <f t="shared" si="0"/>
        <v>285788</v>
      </c>
      <c r="H24" s="1020"/>
      <c r="I24" s="1021"/>
      <c r="J24" s="1015"/>
    </row>
    <row r="25" spans="2:10" s="1048" customFormat="1" ht="20.100000000000001" customHeight="1" x14ac:dyDescent="0.25">
      <c r="B25" s="1042"/>
      <c r="C25" s="1043" t="s">
        <v>1025</v>
      </c>
      <c r="D25" s="1044"/>
      <c r="E25" s="1045">
        <f>SUM(E26:E32)</f>
        <v>37532165</v>
      </c>
      <c r="F25" s="1045">
        <f>SUM(F26:F32)</f>
        <v>8473638</v>
      </c>
      <c r="G25" s="1046">
        <f>SUM(G26:G32)</f>
        <v>29058527</v>
      </c>
      <c r="H25" s="1047"/>
      <c r="J25" s="1015"/>
    </row>
    <row r="26" spans="2:10" s="1026" customFormat="1" ht="20.100000000000001" customHeight="1" x14ac:dyDescent="0.25">
      <c r="B26" s="1027"/>
      <c r="C26" s="1049" t="s">
        <v>1018</v>
      </c>
      <c r="D26" s="1028" t="s">
        <v>1026</v>
      </c>
      <c r="E26" s="1029">
        <v>2685730</v>
      </c>
      <c r="F26" s="1028">
        <v>996746</v>
      </c>
      <c r="G26" s="1030">
        <f t="shared" ref="G26:G32" si="1">E26-F26</f>
        <v>1688984</v>
      </c>
      <c r="H26" s="1020"/>
      <c r="I26" s="1021"/>
      <c r="J26" s="1015"/>
    </row>
    <row r="27" spans="2:10" s="1026" customFormat="1" ht="20.100000000000001" customHeight="1" x14ac:dyDescent="0.25">
      <c r="B27" s="1022"/>
      <c r="C27" s="1050" t="s">
        <v>1018</v>
      </c>
      <c r="D27" s="1023" t="s">
        <v>1027</v>
      </c>
      <c r="E27" s="1024">
        <v>278543</v>
      </c>
      <c r="F27" s="1023">
        <v>24771</v>
      </c>
      <c r="G27" s="1025">
        <f t="shared" si="1"/>
        <v>253772</v>
      </c>
      <c r="H27" s="1020"/>
      <c r="I27" s="1021"/>
      <c r="J27" s="1015"/>
    </row>
    <row r="28" spans="2:10" s="1026" customFormat="1" ht="20.100000000000001" customHeight="1" x14ac:dyDescent="0.25">
      <c r="B28" s="1022"/>
      <c r="C28" s="1050" t="s">
        <v>1018</v>
      </c>
      <c r="D28" s="1023" t="s">
        <v>1028</v>
      </c>
      <c r="E28" s="1024">
        <v>321457</v>
      </c>
      <c r="F28" s="1023">
        <v>124805</v>
      </c>
      <c r="G28" s="1025">
        <f t="shared" si="1"/>
        <v>196652</v>
      </c>
      <c r="H28" s="1020"/>
      <c r="I28" s="1021"/>
      <c r="J28" s="1015"/>
    </row>
    <row r="29" spans="2:10" s="1026" customFormat="1" ht="20.100000000000001" customHeight="1" x14ac:dyDescent="0.25">
      <c r="B29" s="1022"/>
      <c r="C29" s="1050" t="s">
        <v>1018</v>
      </c>
      <c r="D29" s="1023" t="s">
        <v>1029</v>
      </c>
      <c r="E29" s="1024">
        <v>9478235</v>
      </c>
      <c r="F29" s="1023">
        <v>2134837</v>
      </c>
      <c r="G29" s="1025">
        <f t="shared" si="1"/>
        <v>7343398</v>
      </c>
      <c r="H29" s="1020"/>
      <c r="I29" s="1021"/>
      <c r="J29" s="1015"/>
    </row>
    <row r="30" spans="2:10" s="1026" customFormat="1" ht="20.100000000000001" customHeight="1" x14ac:dyDescent="0.25">
      <c r="B30" s="1022"/>
      <c r="C30" s="1050" t="s">
        <v>1018</v>
      </c>
      <c r="D30" s="1023" t="s">
        <v>1030</v>
      </c>
      <c r="E30" s="1024">
        <f>1518729+296308</f>
        <v>1815037</v>
      </c>
      <c r="F30" s="1023">
        <f>10781+8613</f>
        <v>19394</v>
      </c>
      <c r="G30" s="1025">
        <f t="shared" si="1"/>
        <v>1795643</v>
      </c>
      <c r="H30" s="1020"/>
      <c r="I30" s="1021"/>
      <c r="J30" s="1015"/>
    </row>
    <row r="31" spans="2:10" s="1026" customFormat="1" ht="20.100000000000001" customHeight="1" x14ac:dyDescent="0.25">
      <c r="B31" s="1022"/>
      <c r="C31" s="1050" t="s">
        <v>1018</v>
      </c>
      <c r="D31" s="1023" t="s">
        <v>1023</v>
      </c>
      <c r="E31" s="1024">
        <f>405203+364+41410+2664193+6525854+7923698+1618688</f>
        <v>19179410</v>
      </c>
      <c r="F31" s="1023">
        <f>86929+364+1341+1043468+1157308+2361589+187749</f>
        <v>4838748</v>
      </c>
      <c r="G31" s="1025">
        <f t="shared" si="1"/>
        <v>14340662</v>
      </c>
      <c r="H31" s="1020"/>
      <c r="I31" s="1021"/>
      <c r="J31" s="1015"/>
    </row>
    <row r="32" spans="2:10" s="1026" customFormat="1" ht="39" customHeight="1" x14ac:dyDescent="0.25">
      <c r="B32" s="1027"/>
      <c r="C32" s="1051" t="s">
        <v>1018</v>
      </c>
      <c r="D32" s="1052" t="s">
        <v>1031</v>
      </c>
      <c r="E32" s="1029">
        <v>3773753</v>
      </c>
      <c r="F32" s="1028">
        <f>334336+1</f>
        <v>334337</v>
      </c>
      <c r="G32" s="1030">
        <f t="shared" si="1"/>
        <v>3439416</v>
      </c>
      <c r="H32" s="1020"/>
      <c r="I32" s="1021"/>
      <c r="J32" s="1015"/>
    </row>
    <row r="33" spans="2:10" s="1048" customFormat="1" ht="20.100000000000001" customHeight="1" x14ac:dyDescent="0.25">
      <c r="B33" s="1042"/>
      <c r="C33" s="1043" t="s">
        <v>1015</v>
      </c>
      <c r="D33" s="1044"/>
      <c r="E33" s="1045">
        <f>SUM(E34:E36)</f>
        <v>3791427</v>
      </c>
      <c r="F33" s="1045">
        <f>SUM(F34:F36)</f>
        <v>533114</v>
      </c>
      <c r="G33" s="1046">
        <f>SUM(G34:G36)</f>
        <v>3258313</v>
      </c>
      <c r="H33" s="1047"/>
      <c r="J33" s="1015"/>
    </row>
    <row r="34" spans="2:10" s="1026" customFormat="1" ht="20.100000000000001" customHeight="1" x14ac:dyDescent="0.25">
      <c r="B34" s="1027"/>
      <c r="C34" s="1049" t="s">
        <v>1018</v>
      </c>
      <c r="D34" s="1028" t="s">
        <v>1032</v>
      </c>
      <c r="E34" s="1029">
        <v>41486</v>
      </c>
      <c r="F34" s="1028">
        <v>0</v>
      </c>
      <c r="G34" s="1030">
        <f>E34-F34</f>
        <v>41486</v>
      </c>
      <c r="H34" s="1020"/>
      <c r="I34" s="1021"/>
      <c r="J34" s="1015"/>
    </row>
    <row r="35" spans="2:10" s="1026" customFormat="1" ht="20.100000000000001" customHeight="1" x14ac:dyDescent="0.25">
      <c r="B35" s="1022"/>
      <c r="C35" s="1050" t="s">
        <v>1018</v>
      </c>
      <c r="D35" s="1023" t="s">
        <v>1023</v>
      </c>
      <c r="E35" s="1024">
        <f>3680054+66821</f>
        <v>3746875</v>
      </c>
      <c r="F35" s="1023">
        <f>523120+8956</f>
        <v>532076</v>
      </c>
      <c r="G35" s="1025">
        <f>E35-F35</f>
        <v>3214799</v>
      </c>
      <c r="H35" s="1020"/>
      <c r="I35" s="1021"/>
      <c r="J35" s="1015"/>
    </row>
    <row r="36" spans="2:10" s="1026" customFormat="1" ht="40.5" customHeight="1" x14ac:dyDescent="0.25">
      <c r="B36" s="1027"/>
      <c r="C36" s="1051" t="s">
        <v>1018</v>
      </c>
      <c r="D36" s="1052" t="s">
        <v>1033</v>
      </c>
      <c r="E36" s="1029">
        <v>3066</v>
      </c>
      <c r="F36" s="1028">
        <v>1038</v>
      </c>
      <c r="G36" s="1030">
        <f>E36-F36</f>
        <v>2028</v>
      </c>
      <c r="H36" s="1020"/>
      <c r="I36" s="1021"/>
      <c r="J36" s="1015"/>
    </row>
    <row r="37" spans="2:10" s="1058" customFormat="1" ht="20.100000000000001" customHeight="1" x14ac:dyDescent="0.25">
      <c r="B37" s="1053" t="s">
        <v>1034</v>
      </c>
      <c r="C37" s="1054" t="s">
        <v>1035</v>
      </c>
      <c r="D37" s="1054"/>
      <c r="E37" s="1055">
        <f>SUM(E38:E40)</f>
        <v>5672606</v>
      </c>
      <c r="F37" s="1055">
        <f>SUM(F38:F40)</f>
        <v>3983019</v>
      </c>
      <c r="G37" s="1056">
        <f>SUM(G38:G40)</f>
        <v>1689587</v>
      </c>
      <c r="H37" s="1057"/>
      <c r="I37" s="1041"/>
      <c r="J37" s="1015"/>
    </row>
    <row r="38" spans="2:10" ht="20.100000000000001" customHeight="1" x14ac:dyDescent="0.25">
      <c r="B38" s="999"/>
      <c r="C38" s="1000" t="s">
        <v>1036</v>
      </c>
      <c r="D38" s="1000"/>
      <c r="E38" s="1059">
        <v>982406</v>
      </c>
      <c r="F38" s="1000">
        <v>0</v>
      </c>
      <c r="G38" s="1060">
        <f>E38-F38</f>
        <v>982406</v>
      </c>
      <c r="H38" s="1061"/>
      <c r="J38" s="1015"/>
    </row>
    <row r="39" spans="2:10" ht="20.100000000000001" customHeight="1" x14ac:dyDescent="0.25">
      <c r="B39" s="1062"/>
      <c r="C39" s="1063" t="s">
        <v>1037</v>
      </c>
      <c r="D39" s="1063"/>
      <c r="E39" s="1064">
        <v>4690200</v>
      </c>
      <c r="F39" s="1063">
        <v>3983019</v>
      </c>
      <c r="G39" s="1065">
        <f>E39-F39</f>
        <v>707181</v>
      </c>
      <c r="H39" s="1061"/>
      <c r="J39" s="1015"/>
    </row>
    <row r="40" spans="2:10" ht="20.100000000000001" customHeight="1" x14ac:dyDescent="0.25">
      <c r="B40" s="1066"/>
      <c r="C40" s="1067" t="s">
        <v>1038</v>
      </c>
      <c r="D40" s="1067"/>
      <c r="E40" s="1068">
        <v>0</v>
      </c>
      <c r="F40" s="1067">
        <v>0</v>
      </c>
      <c r="G40" s="1069">
        <f>E40-F40</f>
        <v>0</v>
      </c>
      <c r="H40" s="1061"/>
      <c r="J40" s="1015"/>
    </row>
    <row r="41" spans="2:10" s="1058" customFormat="1" ht="20.100000000000001" customHeight="1" x14ac:dyDescent="0.25">
      <c r="B41" s="1070" t="s">
        <v>719</v>
      </c>
      <c r="C41" s="1071" t="s">
        <v>1039</v>
      </c>
      <c r="D41" s="1071"/>
      <c r="E41" s="1072">
        <v>619</v>
      </c>
      <c r="F41" s="1072">
        <v>619</v>
      </c>
      <c r="G41" s="1073">
        <f>E41-F41</f>
        <v>0</v>
      </c>
      <c r="H41" s="1057"/>
      <c r="J41" s="1015"/>
    </row>
    <row r="42" spans="2:10" s="1058" customFormat="1" ht="20.100000000000001" customHeight="1" x14ac:dyDescent="0.25">
      <c r="B42" s="1074" t="s">
        <v>1040</v>
      </c>
      <c r="C42" s="1075" t="s">
        <v>720</v>
      </c>
      <c r="D42" s="1075"/>
      <c r="E42" s="1076">
        <f>SUM(E43:E44)</f>
        <v>1070982</v>
      </c>
      <c r="F42" s="1076">
        <f>SUM(F43:F44)</f>
        <v>0</v>
      </c>
      <c r="G42" s="1077">
        <f>SUM(G43:G44)</f>
        <v>1070982</v>
      </c>
      <c r="H42" s="1057"/>
      <c r="J42" s="1015"/>
    </row>
    <row r="43" spans="2:10" ht="20.100000000000001" customHeight="1" x14ac:dyDescent="0.25">
      <c r="B43" s="1062"/>
      <c r="C43" s="1078" t="s">
        <v>1041</v>
      </c>
      <c r="D43" s="1078"/>
      <c r="E43" s="1079">
        <v>763112</v>
      </c>
      <c r="F43" s="1078">
        <v>0</v>
      </c>
      <c r="G43" s="1065">
        <f>E43-F43</f>
        <v>763112</v>
      </c>
      <c r="H43" s="1061"/>
      <c r="J43" s="1015"/>
    </row>
    <row r="44" spans="2:10" ht="20.100000000000001" customHeight="1" x14ac:dyDescent="0.25">
      <c r="B44" s="1062"/>
      <c r="C44" s="1078" t="s">
        <v>1042</v>
      </c>
      <c r="D44" s="1078"/>
      <c r="E44" s="1079">
        <v>307870</v>
      </c>
      <c r="F44" s="1078">
        <v>0</v>
      </c>
      <c r="G44" s="1065">
        <f>E44-F44</f>
        <v>307870</v>
      </c>
      <c r="H44" s="1061"/>
      <c r="J44" s="1015"/>
    </row>
    <row r="45" spans="2:10" s="1058" customFormat="1" ht="20.100000000000001" customHeight="1" thickBot="1" x14ac:dyDescent="0.3">
      <c r="B45" s="1074" t="s">
        <v>1043</v>
      </c>
      <c r="C45" s="1075" t="s">
        <v>1044</v>
      </c>
      <c r="D45" s="1080"/>
      <c r="E45" s="1081">
        <v>0</v>
      </c>
      <c r="F45" s="1080">
        <v>0</v>
      </c>
      <c r="G45" s="1077">
        <f>E45-F45</f>
        <v>0</v>
      </c>
      <c r="H45" s="1057"/>
      <c r="J45" s="1015"/>
    </row>
    <row r="46" spans="2:10" s="1088" customFormat="1" ht="20.100000000000001" customHeight="1" thickBot="1" x14ac:dyDescent="0.3">
      <c r="B46" s="1082" t="s">
        <v>730</v>
      </c>
      <c r="C46" s="1083" t="s">
        <v>1045</v>
      </c>
      <c r="D46" s="1084"/>
      <c r="E46" s="1085"/>
      <c r="F46" s="1084"/>
      <c r="G46" s="1086">
        <f>SUM(G47:G49)</f>
        <v>7525967</v>
      </c>
      <c r="H46" s="1087"/>
      <c r="J46" s="1015"/>
    </row>
    <row r="47" spans="2:10" s="1095" customFormat="1" ht="20.100000000000001" customHeight="1" x14ac:dyDescent="0.2">
      <c r="B47" s="1089" t="s">
        <v>1046</v>
      </c>
      <c r="C47" s="1090" t="s">
        <v>1047</v>
      </c>
      <c r="D47" s="1091"/>
      <c r="E47" s="1092"/>
      <c r="F47" s="1091"/>
      <c r="G47" s="1100">
        <v>7525967</v>
      </c>
      <c r="H47" s="1094"/>
    </row>
    <row r="48" spans="2:10" s="1095" customFormat="1" ht="20.100000000000001" customHeight="1" x14ac:dyDescent="0.2">
      <c r="B48" s="1096" t="s">
        <v>728</v>
      </c>
      <c r="C48" s="1097" t="s">
        <v>1048</v>
      </c>
      <c r="D48" s="1098"/>
      <c r="E48" s="1099"/>
      <c r="F48" s="1098"/>
      <c r="G48" s="1100">
        <v>0</v>
      </c>
      <c r="H48" s="1094"/>
    </row>
    <row r="49" spans="2:10" s="1095" customFormat="1" ht="20.100000000000001" customHeight="1" thickBot="1" x14ac:dyDescent="0.25">
      <c r="B49" s="1089" t="s">
        <v>1049</v>
      </c>
      <c r="C49" s="1090" t="s">
        <v>1050</v>
      </c>
      <c r="D49" s="1091"/>
      <c r="E49" s="1092"/>
      <c r="F49" s="1091"/>
      <c r="G49" s="1093">
        <v>0</v>
      </c>
      <c r="H49" s="1094"/>
    </row>
    <row r="50" spans="2:10" s="1088" customFormat="1" ht="20.100000000000001" customHeight="1" thickBot="1" x14ac:dyDescent="0.3">
      <c r="B50" s="1082" t="s">
        <v>1051</v>
      </c>
      <c r="C50" s="1083" t="s">
        <v>1052</v>
      </c>
      <c r="D50" s="1084"/>
      <c r="E50" s="1085">
        <v>0</v>
      </c>
      <c r="F50" s="1084">
        <v>0</v>
      </c>
      <c r="G50" s="1086">
        <f>+E50-F50</f>
        <v>0</v>
      </c>
      <c r="H50" s="1087"/>
      <c r="J50" s="1015"/>
    </row>
    <row r="51" spans="2:10" ht="20.100000000000001" customHeight="1" thickBot="1" x14ac:dyDescent="0.3">
      <c r="B51" s="999"/>
      <c r="C51" s="1101"/>
      <c r="D51" s="1102"/>
      <c r="E51" s="1103"/>
      <c r="F51" s="1102"/>
      <c r="G51" s="1060"/>
      <c r="H51" s="1061"/>
    </row>
    <row r="52" spans="2:10" s="1088" customFormat="1" ht="20.100000000000001" customHeight="1" thickBot="1" x14ac:dyDescent="0.3">
      <c r="B52" s="1082" t="s">
        <v>1053</v>
      </c>
      <c r="C52" s="1083" t="s">
        <v>1054</v>
      </c>
      <c r="D52" s="1084"/>
      <c r="E52" s="1085" t="s">
        <v>110</v>
      </c>
      <c r="F52" s="1084"/>
      <c r="G52" s="1086">
        <f>SUM(G53:G54)</f>
        <v>15307</v>
      </c>
      <c r="H52" s="1087"/>
      <c r="J52" s="1015"/>
    </row>
    <row r="53" spans="2:10" s="1095" customFormat="1" ht="20.100000000000001" customHeight="1" x14ac:dyDescent="0.2">
      <c r="B53" s="1089" t="s">
        <v>737</v>
      </c>
      <c r="C53" s="1090" t="s">
        <v>1055</v>
      </c>
      <c r="D53" s="1091"/>
      <c r="E53" s="1092" t="s">
        <v>110</v>
      </c>
      <c r="F53" s="1091"/>
      <c r="G53" s="1093">
        <v>15307</v>
      </c>
      <c r="H53" s="1094"/>
    </row>
    <row r="54" spans="2:10" s="1095" customFormat="1" ht="20.100000000000001" customHeight="1" x14ac:dyDescent="0.2">
      <c r="B54" s="1096" t="s">
        <v>739</v>
      </c>
      <c r="C54" s="1097" t="s">
        <v>738</v>
      </c>
      <c r="D54" s="1098"/>
      <c r="E54" s="1099" t="s">
        <v>110</v>
      </c>
      <c r="F54" s="1098"/>
      <c r="G54" s="1100">
        <v>0</v>
      </c>
      <c r="H54" s="1094"/>
    </row>
    <row r="55" spans="2:10" ht="20.100000000000001" customHeight="1" thickBot="1" x14ac:dyDescent="0.25">
      <c r="B55" s="999"/>
      <c r="C55" s="1000"/>
      <c r="D55" s="1102"/>
      <c r="E55" s="1103"/>
      <c r="F55" s="1102"/>
      <c r="G55" s="1060"/>
    </row>
    <row r="56" spans="2:10" s="1088" customFormat="1" ht="20.100000000000001" customHeight="1" thickBot="1" x14ac:dyDescent="0.3">
      <c r="B56" s="1082" t="s">
        <v>753</v>
      </c>
      <c r="C56" s="1083" t="s">
        <v>1056</v>
      </c>
      <c r="D56" s="1084"/>
      <c r="E56" s="1085"/>
      <c r="F56" s="1084"/>
      <c r="G56" s="1086">
        <f>SUM(G57:G60)</f>
        <v>11746817</v>
      </c>
      <c r="H56" s="1087"/>
      <c r="J56" s="1015"/>
    </row>
    <row r="57" spans="2:10" s="1095" customFormat="1" ht="20.100000000000001" customHeight="1" x14ac:dyDescent="0.2">
      <c r="B57" s="1089" t="s">
        <v>745</v>
      </c>
      <c r="C57" s="1090" t="s">
        <v>744</v>
      </c>
      <c r="D57" s="1091"/>
      <c r="E57" s="1092"/>
      <c r="F57" s="1091"/>
      <c r="G57" s="1104">
        <v>0</v>
      </c>
      <c r="H57" s="1094"/>
    </row>
    <row r="58" spans="2:10" s="1095" customFormat="1" ht="20.100000000000001" customHeight="1" x14ac:dyDescent="0.2">
      <c r="B58" s="1096" t="s">
        <v>747</v>
      </c>
      <c r="C58" s="1097" t="s">
        <v>746</v>
      </c>
      <c r="D58" s="1098"/>
      <c r="E58" s="1099"/>
      <c r="F58" s="1098"/>
      <c r="G58" s="1105">
        <v>1141</v>
      </c>
      <c r="H58" s="1094"/>
    </row>
    <row r="59" spans="2:10" s="1095" customFormat="1" ht="20.100000000000001" customHeight="1" x14ac:dyDescent="0.2">
      <c r="B59" s="1089" t="s">
        <v>749</v>
      </c>
      <c r="C59" s="1090" t="s">
        <v>748</v>
      </c>
      <c r="D59" s="1091"/>
      <c r="E59" s="1092"/>
      <c r="F59" s="1091"/>
      <c r="G59" s="1104">
        <v>11745676</v>
      </c>
      <c r="H59" s="1094"/>
    </row>
    <row r="60" spans="2:10" s="1095" customFormat="1" ht="20.100000000000001" customHeight="1" x14ac:dyDescent="0.2">
      <c r="B60" s="1096" t="s">
        <v>1057</v>
      </c>
      <c r="C60" s="1097" t="s">
        <v>750</v>
      </c>
      <c r="D60" s="1098"/>
      <c r="E60" s="1099"/>
      <c r="F60" s="1098"/>
      <c r="G60" s="1105">
        <v>0</v>
      </c>
      <c r="H60" s="1094"/>
    </row>
    <row r="61" spans="2:10" ht="20.100000000000001" customHeight="1" thickBot="1" x14ac:dyDescent="0.25">
      <c r="B61" s="999"/>
      <c r="C61" s="1000"/>
      <c r="D61" s="1102"/>
      <c r="E61" s="1103"/>
      <c r="F61" s="1102"/>
      <c r="G61" s="1060"/>
    </row>
    <row r="62" spans="2:10" s="1088" customFormat="1" ht="20.100000000000001" customHeight="1" thickBot="1" x14ac:dyDescent="0.3">
      <c r="B62" s="1082" t="s">
        <v>761</v>
      </c>
      <c r="C62" s="1083" t="s">
        <v>1058</v>
      </c>
      <c r="D62" s="1084"/>
      <c r="E62" s="1085"/>
      <c r="F62" s="1084"/>
      <c r="G62" s="1086">
        <f>SUM(G63:G65)</f>
        <v>1327465</v>
      </c>
      <c r="H62" s="1087"/>
      <c r="J62" s="1015"/>
    </row>
    <row r="63" spans="2:10" s="1095" customFormat="1" ht="20.100000000000001" customHeight="1" x14ac:dyDescent="0.2">
      <c r="B63" s="1089" t="s">
        <v>755</v>
      </c>
      <c r="C63" s="1090" t="s">
        <v>754</v>
      </c>
      <c r="D63" s="1106"/>
      <c r="E63" s="1107"/>
      <c r="F63" s="1106"/>
      <c r="G63" s="1093">
        <v>1146810</v>
      </c>
      <c r="H63" s="1094"/>
    </row>
    <row r="64" spans="2:10" s="1095" customFormat="1" ht="20.100000000000001" customHeight="1" x14ac:dyDescent="0.2">
      <c r="B64" s="1096" t="s">
        <v>757</v>
      </c>
      <c r="C64" s="1097" t="s">
        <v>756</v>
      </c>
      <c r="D64" s="1108"/>
      <c r="E64" s="1109"/>
      <c r="F64" s="1108"/>
      <c r="G64" s="1100">
        <v>157550</v>
      </c>
      <c r="H64" s="1094"/>
    </row>
    <row r="65" spans="2:10" s="1095" customFormat="1" ht="20.100000000000001" customHeight="1" x14ac:dyDescent="0.2">
      <c r="B65" s="1096" t="s">
        <v>759</v>
      </c>
      <c r="C65" s="1097" t="s">
        <v>758</v>
      </c>
      <c r="D65" s="1108"/>
      <c r="E65" s="1109"/>
      <c r="F65" s="1108"/>
      <c r="G65" s="1100">
        <v>23105</v>
      </c>
      <c r="H65" s="1094"/>
    </row>
    <row r="66" spans="2:10" s="1116" customFormat="1" ht="20.100000000000001" customHeight="1" thickBot="1" x14ac:dyDescent="0.3">
      <c r="B66" s="1110"/>
      <c r="C66" s="1111"/>
      <c r="D66" s="1112"/>
      <c r="E66" s="1113"/>
      <c r="F66" s="1112"/>
      <c r="G66" s="1114"/>
      <c r="H66" s="1115"/>
    </row>
    <row r="67" spans="2:10" s="1088" customFormat="1" ht="20.100000000000001" customHeight="1" thickBot="1" x14ac:dyDescent="0.3">
      <c r="B67" s="1082" t="s">
        <v>763</v>
      </c>
      <c r="C67" s="1083" t="s">
        <v>1059</v>
      </c>
      <c r="D67" s="1084"/>
      <c r="E67" s="1085"/>
      <c r="F67" s="1084"/>
      <c r="G67" s="1086">
        <v>55030</v>
      </c>
      <c r="H67" s="1087"/>
      <c r="J67" s="1015"/>
    </row>
    <row r="68" spans="2:10" s="1116" customFormat="1" ht="20.100000000000001" customHeight="1" thickBot="1" x14ac:dyDescent="0.3">
      <c r="B68" s="1110"/>
      <c r="C68" s="1111"/>
      <c r="D68" s="1112"/>
      <c r="E68" s="1113"/>
      <c r="F68" s="1112"/>
      <c r="G68" s="1114"/>
      <c r="H68" s="1115"/>
    </row>
    <row r="69" spans="2:10" s="1088" customFormat="1" ht="20.100000000000001" customHeight="1" thickBot="1" x14ac:dyDescent="0.3">
      <c r="B69" s="1082" t="s">
        <v>1060</v>
      </c>
      <c r="C69" s="1083" t="s">
        <v>1061</v>
      </c>
      <c r="D69" s="1084"/>
      <c r="E69" s="1085"/>
      <c r="F69" s="1084"/>
      <c r="G69" s="1086">
        <v>402878</v>
      </c>
      <c r="H69" s="1087"/>
      <c r="I69" s="1088">
        <f>+G69+G67+G62+G56+G52+G9</f>
        <v>91579421</v>
      </c>
      <c r="J69" s="1015"/>
    </row>
    <row r="70" spans="2:10" ht="20.100000000000001" customHeight="1" thickBot="1" x14ac:dyDescent="0.25">
      <c r="B70" s="1117"/>
      <c r="C70" s="1000"/>
      <c r="D70" s="1102"/>
      <c r="E70" s="1102"/>
      <c r="F70" s="1102"/>
      <c r="G70" s="1000"/>
    </row>
    <row r="71" spans="2:10" s="1088" customFormat="1" ht="20.100000000000001" customHeight="1" thickBot="1" x14ac:dyDescent="0.3">
      <c r="B71" s="1118" t="s">
        <v>775</v>
      </c>
      <c r="C71" s="1083"/>
      <c r="D71" s="1084"/>
      <c r="E71" s="1085"/>
      <c r="F71" s="1084"/>
      <c r="G71" s="1086"/>
      <c r="H71" s="1087"/>
      <c r="J71" s="1015"/>
    </row>
    <row r="72" spans="2:10" s="1124" customFormat="1" ht="20.100000000000001" customHeight="1" thickBot="1" x14ac:dyDescent="0.35">
      <c r="B72" s="1119" t="s">
        <v>1062</v>
      </c>
      <c r="C72" s="1120" t="s">
        <v>1063</v>
      </c>
      <c r="D72" s="1121"/>
      <c r="E72" s="1122"/>
      <c r="F72" s="1121"/>
      <c r="G72" s="1123">
        <f>SUM(G73:G78)</f>
        <v>78140327</v>
      </c>
      <c r="H72" s="1087"/>
    </row>
    <row r="73" spans="2:10" s="1095" customFormat="1" ht="20.100000000000001" customHeight="1" x14ac:dyDescent="0.2">
      <c r="B73" s="1096" t="s">
        <v>777</v>
      </c>
      <c r="C73" s="1097" t="s">
        <v>776</v>
      </c>
      <c r="D73" s="1108"/>
      <c r="E73" s="1109"/>
      <c r="F73" s="1108"/>
      <c r="G73" s="1100">
        <v>98490251</v>
      </c>
      <c r="H73" s="1094"/>
    </row>
    <row r="74" spans="2:10" s="1095" customFormat="1" ht="20.100000000000001" customHeight="1" x14ac:dyDescent="0.2">
      <c r="B74" s="1096" t="s">
        <v>779</v>
      </c>
      <c r="C74" s="1097" t="s">
        <v>778</v>
      </c>
      <c r="D74" s="1108"/>
      <c r="E74" s="1109"/>
      <c r="F74" s="1108"/>
      <c r="G74" s="1100">
        <v>-14728</v>
      </c>
      <c r="H74" s="1094"/>
    </row>
    <row r="75" spans="2:10" s="1095" customFormat="1" ht="20.100000000000001" customHeight="1" x14ac:dyDescent="0.2">
      <c r="B75" s="1096" t="s">
        <v>781</v>
      </c>
      <c r="C75" s="1097" t="s">
        <v>780</v>
      </c>
      <c r="D75" s="1108"/>
      <c r="E75" s="1109"/>
      <c r="F75" s="1108"/>
      <c r="G75" s="1100">
        <v>921142</v>
      </c>
      <c r="H75" s="1094"/>
    </row>
    <row r="76" spans="2:10" s="1095" customFormat="1" ht="20.100000000000001" customHeight="1" x14ac:dyDescent="0.2">
      <c r="B76" s="1096" t="s">
        <v>783</v>
      </c>
      <c r="C76" s="1097" t="s">
        <v>782</v>
      </c>
      <c r="D76" s="1108"/>
      <c r="E76" s="1109"/>
      <c r="F76" s="1108"/>
      <c r="G76" s="1100">
        <v>-19919903</v>
      </c>
      <c r="H76" s="1094"/>
    </row>
    <row r="77" spans="2:10" s="1095" customFormat="1" ht="20.100000000000001" customHeight="1" x14ac:dyDescent="0.2">
      <c r="B77" s="1096" t="s">
        <v>785</v>
      </c>
      <c r="C77" s="1097" t="s">
        <v>784</v>
      </c>
      <c r="D77" s="1108"/>
      <c r="E77" s="1109"/>
      <c r="F77" s="1108"/>
      <c r="G77" s="1100">
        <v>0</v>
      </c>
      <c r="H77" s="1094"/>
    </row>
    <row r="78" spans="2:10" s="1095" customFormat="1" ht="20.100000000000001" customHeight="1" thickBot="1" x14ac:dyDescent="0.25">
      <c r="B78" s="1096" t="s">
        <v>787</v>
      </c>
      <c r="C78" s="1097" t="s">
        <v>786</v>
      </c>
      <c r="D78" s="1108"/>
      <c r="E78" s="1109"/>
      <c r="F78" s="1108"/>
      <c r="G78" s="1100">
        <v>-1336435</v>
      </c>
      <c r="H78" s="1094"/>
    </row>
    <row r="79" spans="2:10" s="1124" customFormat="1" ht="20.100000000000001" customHeight="1" thickBot="1" x14ac:dyDescent="0.35">
      <c r="B79" s="1119" t="s">
        <v>1064</v>
      </c>
      <c r="C79" s="1120" t="s">
        <v>1065</v>
      </c>
      <c r="D79" s="1121"/>
      <c r="E79" s="1122"/>
      <c r="F79" s="1121"/>
      <c r="G79" s="1123">
        <f>SUM(G80:G82)</f>
        <v>1589244</v>
      </c>
      <c r="H79" s="1087"/>
    </row>
    <row r="80" spans="2:10" ht="20.100000000000001" customHeight="1" x14ac:dyDescent="0.2">
      <c r="B80" s="999" t="s">
        <v>792</v>
      </c>
      <c r="C80" s="1000" t="s">
        <v>1066</v>
      </c>
      <c r="D80" s="1102"/>
      <c r="E80" s="1103"/>
      <c r="F80" s="1102"/>
      <c r="G80" s="1060">
        <v>624702</v>
      </c>
    </row>
    <row r="81" spans="2:9" ht="20.100000000000001" customHeight="1" x14ac:dyDescent="0.2">
      <c r="B81" s="1062" t="s">
        <v>794</v>
      </c>
      <c r="C81" s="1063" t="s">
        <v>1067</v>
      </c>
      <c r="D81" s="1078"/>
      <c r="E81" s="1079"/>
      <c r="F81" s="1078"/>
      <c r="G81" s="1065">
        <v>688373</v>
      </c>
    </row>
    <row r="82" spans="2:9" ht="20.100000000000001" customHeight="1" x14ac:dyDescent="0.2">
      <c r="B82" s="1062" t="s">
        <v>796</v>
      </c>
      <c r="C82" s="1063" t="s">
        <v>795</v>
      </c>
      <c r="D82" s="1078"/>
      <c r="E82" s="1079"/>
      <c r="F82" s="1078"/>
      <c r="G82" s="1065">
        <v>276169</v>
      </c>
    </row>
    <row r="83" spans="2:9" ht="20.100000000000001" customHeight="1" x14ac:dyDescent="0.2">
      <c r="B83" s="999"/>
      <c r="C83" s="1000"/>
      <c r="D83" s="1102"/>
      <c r="E83" s="1103"/>
      <c r="F83" s="1102"/>
      <c r="G83" s="1060"/>
    </row>
    <row r="84" spans="2:9" ht="20.100000000000001" customHeight="1" thickBot="1" x14ac:dyDescent="0.25">
      <c r="B84" s="999"/>
      <c r="C84" s="1000"/>
      <c r="D84" s="1102"/>
      <c r="E84" s="1103"/>
      <c r="F84" s="1102"/>
      <c r="G84" s="1060"/>
    </row>
    <row r="85" spans="2:9" s="1124" customFormat="1" ht="20.100000000000001" customHeight="1" thickBot="1" x14ac:dyDescent="0.35">
      <c r="B85" s="1119" t="s">
        <v>1068</v>
      </c>
      <c r="C85" s="1120" t="s">
        <v>1069</v>
      </c>
      <c r="D85" s="1121"/>
      <c r="E85" s="1122"/>
      <c r="F85" s="1121"/>
      <c r="G85" s="1123">
        <v>0</v>
      </c>
      <c r="H85" s="1087"/>
    </row>
    <row r="86" spans="2:9" ht="20.100000000000001" customHeight="1" thickBot="1" x14ac:dyDescent="0.25">
      <c r="B86" s="999"/>
      <c r="C86" s="1000"/>
      <c r="D86" s="1102"/>
      <c r="E86" s="1103"/>
      <c r="F86" s="1102"/>
      <c r="G86" s="1060"/>
    </row>
    <row r="87" spans="2:9" s="1124" customFormat="1" ht="20.100000000000001" customHeight="1" thickBot="1" x14ac:dyDescent="0.35">
      <c r="B87" s="1119" t="s">
        <v>1070</v>
      </c>
      <c r="C87" s="1120" t="s">
        <v>1071</v>
      </c>
      <c r="D87" s="1121"/>
      <c r="E87" s="1122"/>
      <c r="F87" s="1121"/>
      <c r="G87" s="1123">
        <v>11849850</v>
      </c>
      <c r="H87" s="1087"/>
      <c r="I87" s="1124">
        <f>+G87+G85+G79+G72</f>
        <v>91579421</v>
      </c>
    </row>
    <row r="88" spans="2:9" ht="20.100000000000001" customHeight="1" x14ac:dyDescent="0.2">
      <c r="B88" s="1125"/>
      <c r="C88" s="1126"/>
      <c r="D88" s="1127"/>
      <c r="E88" s="1128"/>
      <c r="F88" s="1127"/>
      <c r="G88" s="1129"/>
    </row>
    <row r="89" spans="2:9" s="1134" customFormat="1" ht="20.100000000000001" customHeight="1" x14ac:dyDescent="0.25">
      <c r="B89" s="1130" t="s">
        <v>1072</v>
      </c>
      <c r="C89" s="1131"/>
      <c r="D89" s="1131"/>
      <c r="E89" s="1132"/>
      <c r="F89" s="1131"/>
      <c r="G89" s="1133"/>
      <c r="H89" s="1061"/>
    </row>
    <row r="90" spans="2:9" s="1116" customFormat="1" ht="20.100000000000001" customHeight="1" x14ac:dyDescent="0.25">
      <c r="B90" s="1110"/>
      <c r="C90" s="1111" t="s">
        <v>1073</v>
      </c>
      <c r="D90" s="1111"/>
      <c r="E90" s="1135">
        <f>SUM(E91:E94)</f>
        <v>3245577</v>
      </c>
      <c r="F90" s="1135">
        <f>SUM(F91:F94)</f>
        <v>3245577</v>
      </c>
      <c r="G90" s="1114">
        <f>SUM(G91:G94)</f>
        <v>0</v>
      </c>
      <c r="H90" s="1115"/>
    </row>
    <row r="91" spans="2:9" s="1095" customFormat="1" ht="20.100000000000001" customHeight="1" x14ac:dyDescent="0.2">
      <c r="B91" s="1096"/>
      <c r="C91" s="1097" t="s">
        <v>1012</v>
      </c>
      <c r="D91" s="1097"/>
      <c r="E91" s="1136">
        <v>578638</v>
      </c>
      <c r="F91" s="1136">
        <v>578638</v>
      </c>
      <c r="G91" s="1100">
        <f>+E91-F91</f>
        <v>0</v>
      </c>
      <c r="H91" s="1094"/>
    </row>
    <row r="92" spans="2:9" s="1095" customFormat="1" ht="20.100000000000001" customHeight="1" x14ac:dyDescent="0.2">
      <c r="B92" s="1089"/>
      <c r="C92" s="1090" t="s">
        <v>1074</v>
      </c>
      <c r="D92" s="1090"/>
      <c r="E92" s="1137">
        <v>177183</v>
      </c>
      <c r="F92" s="1137">
        <v>177183</v>
      </c>
      <c r="G92" s="1100">
        <f>+E92-F92</f>
        <v>0</v>
      </c>
      <c r="H92" s="1094"/>
    </row>
    <row r="93" spans="2:9" s="1095" customFormat="1" ht="20.100000000000001" customHeight="1" x14ac:dyDescent="0.2">
      <c r="B93" s="1096"/>
      <c r="C93" s="1097" t="s">
        <v>1075</v>
      </c>
      <c r="D93" s="1097"/>
      <c r="E93" s="1136">
        <v>2489137</v>
      </c>
      <c r="F93" s="1136">
        <v>2489137</v>
      </c>
      <c r="G93" s="1100">
        <f>+E93-F93</f>
        <v>0</v>
      </c>
      <c r="H93" s="1094"/>
    </row>
    <row r="94" spans="2:9" s="1095" customFormat="1" ht="20.100000000000001" customHeight="1" x14ac:dyDescent="0.2">
      <c r="B94" s="1096"/>
      <c r="C94" s="1097" t="s">
        <v>718</v>
      </c>
      <c r="D94" s="1097"/>
      <c r="E94" s="1136">
        <v>619</v>
      </c>
      <c r="F94" s="1136">
        <v>619</v>
      </c>
      <c r="G94" s="1100">
        <f>+E94-F94</f>
        <v>0</v>
      </c>
      <c r="H94" s="1094"/>
    </row>
    <row r="95" spans="2:9" s="1134" customFormat="1" ht="20.100000000000001" customHeight="1" x14ac:dyDescent="0.25">
      <c r="B95" s="1138"/>
      <c r="C95" s="1000"/>
      <c r="D95" s="1131"/>
      <c r="E95" s="1029"/>
      <c r="F95" s="1131"/>
      <c r="G95" s="1133"/>
      <c r="H95" s="1061"/>
    </row>
    <row r="96" spans="2:9" s="1116" customFormat="1" ht="20.100000000000001" customHeight="1" x14ac:dyDescent="0.25">
      <c r="B96" s="1110"/>
      <c r="C96" s="1111" t="s">
        <v>1076</v>
      </c>
      <c r="D96" s="1111"/>
      <c r="E96" s="1139">
        <f>SUM(E97:E99)</f>
        <v>168252</v>
      </c>
      <c r="F96" s="1139">
        <f>SUM(F97:F99)</f>
        <v>168252</v>
      </c>
      <c r="G96" s="1140">
        <f>SUM(G97:G99)</f>
        <v>0</v>
      </c>
      <c r="H96" s="1115"/>
    </row>
    <row r="97" spans="2:8" s="1134" customFormat="1" ht="19.5" customHeight="1" x14ac:dyDescent="0.25">
      <c r="B97" s="1141"/>
      <c r="C97" s="1063" t="s">
        <v>1077</v>
      </c>
      <c r="D97" s="1142"/>
      <c r="E97" s="1024">
        <v>11358</v>
      </c>
      <c r="F97" s="1097">
        <v>11358</v>
      </c>
      <c r="G97" s="1143">
        <f>+E97-F97</f>
        <v>0</v>
      </c>
      <c r="H97" s="1061"/>
    </row>
    <row r="98" spans="2:8" s="1134" customFormat="1" ht="20.100000000000001" customHeight="1" x14ac:dyDescent="0.25">
      <c r="B98" s="1138"/>
      <c r="C98" s="1000" t="s">
        <v>1078</v>
      </c>
      <c r="D98" s="1131"/>
      <c r="E98" s="1029">
        <v>0</v>
      </c>
      <c r="F98" s="1090">
        <v>0</v>
      </c>
      <c r="G98" s="1143">
        <f>+E98-F98</f>
        <v>0</v>
      </c>
      <c r="H98" s="1061"/>
    </row>
    <row r="99" spans="2:8" s="1134" customFormat="1" ht="20.100000000000001" customHeight="1" x14ac:dyDescent="0.25">
      <c r="B99" s="1141"/>
      <c r="C99" s="1063" t="s">
        <v>1079</v>
      </c>
      <c r="D99" s="1142"/>
      <c r="E99" s="1024">
        <v>156894</v>
      </c>
      <c r="F99" s="1097">
        <v>156894</v>
      </c>
      <c r="G99" s="1143">
        <f>+E99-F99</f>
        <v>0</v>
      </c>
      <c r="H99" s="1061"/>
    </row>
    <row r="100" spans="2:8" s="1026" customFormat="1" ht="20.100000000000001" customHeight="1" x14ac:dyDescent="0.2">
      <c r="B100" s="1027"/>
      <c r="C100" s="1028"/>
      <c r="D100" s="1028"/>
      <c r="E100" s="1029"/>
      <c r="F100" s="1028"/>
      <c r="G100" s="1030"/>
    </row>
    <row r="101" spans="2:8" s="1041" customFormat="1" ht="20.100000000000001" customHeight="1" x14ac:dyDescent="0.25">
      <c r="B101" s="1144"/>
      <c r="C101" s="1044" t="s">
        <v>1080</v>
      </c>
      <c r="D101" s="1145"/>
      <c r="E101" s="1146">
        <f>SUM(E102:E106)</f>
        <v>5964093</v>
      </c>
      <c r="F101" s="1146">
        <f>SUM(F102:F106)</f>
        <v>2884202</v>
      </c>
      <c r="G101" s="1147">
        <f t="shared" ref="G101:G106" si="2">+E101-F101</f>
        <v>3079891</v>
      </c>
    </row>
    <row r="102" spans="2:8" s="1151" customFormat="1" ht="33" customHeight="1" x14ac:dyDescent="0.2">
      <c r="B102" s="1148"/>
      <c r="C102" s="2816" t="s">
        <v>1081</v>
      </c>
      <c r="D102" s="2817"/>
      <c r="E102" s="1137">
        <v>929521</v>
      </c>
      <c r="F102" s="1149">
        <v>348307</v>
      </c>
      <c r="G102" s="1150">
        <f t="shared" si="2"/>
        <v>581214</v>
      </c>
    </row>
    <row r="103" spans="2:8" s="1151" customFormat="1" ht="33" customHeight="1" x14ac:dyDescent="0.2">
      <c r="B103" s="1152"/>
      <c r="C103" s="2809" t="s">
        <v>1082</v>
      </c>
      <c r="D103" s="2691"/>
      <c r="E103" s="1136">
        <v>2207198</v>
      </c>
      <c r="F103" s="1153">
        <v>1124550</v>
      </c>
      <c r="G103" s="1143">
        <f t="shared" si="2"/>
        <v>1082648</v>
      </c>
    </row>
    <row r="104" spans="2:8" s="1151" customFormat="1" ht="33" customHeight="1" x14ac:dyDescent="0.2">
      <c r="B104" s="1152"/>
      <c r="C104" s="2809" t="s">
        <v>1083</v>
      </c>
      <c r="D104" s="2691"/>
      <c r="E104" s="1136">
        <v>1777953</v>
      </c>
      <c r="F104" s="1153">
        <v>817652</v>
      </c>
      <c r="G104" s="1143">
        <f t="shared" si="2"/>
        <v>960301</v>
      </c>
    </row>
    <row r="105" spans="2:8" s="1151" customFormat="1" ht="33" customHeight="1" x14ac:dyDescent="0.2">
      <c r="B105" s="1152"/>
      <c r="C105" s="2809" t="s">
        <v>1084</v>
      </c>
      <c r="D105" s="2691"/>
      <c r="E105" s="1136">
        <v>585507</v>
      </c>
      <c r="F105" s="1153">
        <v>344361</v>
      </c>
      <c r="G105" s="1143">
        <f t="shared" si="2"/>
        <v>241146</v>
      </c>
    </row>
    <row r="106" spans="2:8" s="1151" customFormat="1" ht="33" customHeight="1" x14ac:dyDescent="0.2">
      <c r="B106" s="1152"/>
      <c r="C106" s="2809" t="s">
        <v>1085</v>
      </c>
      <c r="D106" s="2691"/>
      <c r="E106" s="1136">
        <f>463915-1</f>
        <v>463914</v>
      </c>
      <c r="F106" s="1153">
        <f>249331+1</f>
        <v>249332</v>
      </c>
      <c r="G106" s="1143">
        <f t="shared" si="2"/>
        <v>214582</v>
      </c>
    </row>
    <row r="107" spans="2:8" s="1048" customFormat="1" ht="20.100000000000001" customHeight="1" x14ac:dyDescent="0.25">
      <c r="B107" s="1154"/>
      <c r="C107" s="1155"/>
      <c r="D107" s="1155"/>
      <c r="E107" s="1139"/>
      <c r="F107" s="1155"/>
      <c r="G107" s="1140"/>
    </row>
    <row r="108" spans="2:8" s="1041" customFormat="1" ht="20.100000000000001" customHeight="1" x14ac:dyDescent="0.25">
      <c r="B108" s="1156"/>
      <c r="C108" s="1155" t="s">
        <v>1086</v>
      </c>
      <c r="D108" s="1037"/>
      <c r="E108" s="1038"/>
      <c r="F108" s="1038"/>
      <c r="G108" s="1039"/>
    </row>
    <row r="109" spans="2:8" s="1041" customFormat="1" ht="20.100000000000001" customHeight="1" x14ac:dyDescent="0.25">
      <c r="B109" s="1144"/>
      <c r="C109" s="2818" t="s">
        <v>1087</v>
      </c>
      <c r="D109" s="2819"/>
      <c r="E109" s="1813">
        <v>0</v>
      </c>
      <c r="F109" s="1814">
        <v>0</v>
      </c>
      <c r="G109" s="1815">
        <v>0</v>
      </c>
    </row>
    <row r="110" spans="2:8" s="1116" customFormat="1" ht="22.5" customHeight="1" thickBot="1" x14ac:dyDescent="0.3">
      <c r="B110" s="1157"/>
      <c r="C110" s="2810" t="s">
        <v>1305</v>
      </c>
      <c r="D110" s="2811"/>
      <c r="E110" s="1158">
        <v>0</v>
      </c>
      <c r="F110" s="1159">
        <v>0</v>
      </c>
      <c r="G110" s="1160">
        <v>6433617</v>
      </c>
      <c r="H110" s="1115"/>
    </row>
  </sheetData>
  <mergeCells count="9">
    <mergeCell ref="C106:D106"/>
    <mergeCell ref="C110:D110"/>
    <mergeCell ref="B5:G5"/>
    <mergeCell ref="E7:G7"/>
    <mergeCell ref="C102:D102"/>
    <mergeCell ref="C103:D103"/>
    <mergeCell ref="C104:D104"/>
    <mergeCell ref="C105:D105"/>
    <mergeCell ref="C109:D109"/>
  </mergeCells>
  <printOptions horizontalCentered="1" verticalCentered="1"/>
  <pageMargins left="0.19685039370078741" right="0.19685039370078741" top="0.19685039370078741" bottom="0.19685039370078741" header="0" footer="0"/>
  <pageSetup paperSize="9" scale="69" orientation="landscape" verticalDpi="300" r:id="rId1"/>
  <headerFooter alignWithMargins="0">
    <oddHeader>&amp;R&amp;"Arial CE,Normál"&amp;14 &amp;"Arial CE,Félkövér"28. melléklet</oddHeader>
  </headerFooter>
  <rowBreaks count="2" manualBreakCount="2">
    <brk id="40" min="1" max="6" man="1"/>
    <brk id="70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9"/>
  <sheetViews>
    <sheetView topLeftCell="B1" zoomScale="65" zoomScaleNormal="65" workbookViewId="0">
      <selection activeCell="B1" sqref="B1:E1"/>
    </sheetView>
  </sheetViews>
  <sheetFormatPr defaultColWidth="12" defaultRowHeight="27.75" x14ac:dyDescent="0.4"/>
  <cols>
    <col min="1" max="1" width="12" style="1163"/>
    <col min="2" max="2" width="113" style="2449" customWidth="1"/>
    <col min="3" max="3" width="143.6640625" style="1175" customWidth="1"/>
    <col min="4" max="4" width="46.5" style="2447" customWidth="1"/>
    <col min="5" max="5" width="12" style="1163"/>
    <col min="6" max="6" width="36.1640625" style="1164" customWidth="1"/>
    <col min="7" max="7" width="39.6640625" style="1163" customWidth="1"/>
    <col min="8" max="8" width="35.1640625" style="1163" bestFit="1" customWidth="1"/>
    <col min="9" max="9" width="30.33203125" style="1163" customWidth="1"/>
    <col min="10" max="16384" width="12" style="1163"/>
  </cols>
  <sheetData>
    <row r="1" spans="2:7" ht="33.75" customHeight="1" x14ac:dyDescent="0.4">
      <c r="C1" s="1162"/>
      <c r="D1" s="2442"/>
    </row>
    <row r="2" spans="2:7" ht="33.75" customHeight="1" x14ac:dyDescent="0.4">
      <c r="B2" s="2450"/>
      <c r="C2" s="1162"/>
      <c r="D2" s="2442"/>
    </row>
    <row r="3" spans="2:7" s="1166" customFormat="1" ht="33.75" customHeight="1" x14ac:dyDescent="0.5">
      <c r="B3" s="2851" t="s">
        <v>1929</v>
      </c>
      <c r="C3" s="2852"/>
      <c r="D3" s="2852"/>
      <c r="F3" s="1167"/>
    </row>
    <row r="4" spans="2:7" s="1168" customFormat="1" ht="33.75" customHeight="1" x14ac:dyDescent="0.5">
      <c r="B4" s="2851" t="s">
        <v>1436</v>
      </c>
      <c r="C4" s="2852"/>
      <c r="D4" s="2852"/>
      <c r="F4" s="2251"/>
    </row>
    <row r="5" spans="2:7" ht="33.75" customHeight="1" thickBot="1" x14ac:dyDescent="0.4">
      <c r="B5" s="2451"/>
      <c r="C5" s="2381"/>
      <c r="D5" s="2443"/>
    </row>
    <row r="6" spans="2:7" s="1176" customFormat="1" ht="33.75" customHeight="1" x14ac:dyDescent="0.4">
      <c r="B6" s="2452" t="s">
        <v>1088</v>
      </c>
      <c r="C6" s="2492" t="s">
        <v>1089</v>
      </c>
      <c r="D6" s="2492" t="s">
        <v>1090</v>
      </c>
      <c r="F6" s="1170"/>
    </row>
    <row r="7" spans="2:7" s="1176" customFormat="1" ht="33.75" customHeight="1" x14ac:dyDescent="0.4">
      <c r="B7" s="2453"/>
      <c r="C7" s="2493"/>
      <c r="D7" s="2493" t="s">
        <v>38</v>
      </c>
      <c r="F7" s="1170"/>
    </row>
    <row r="8" spans="2:7" s="1176" customFormat="1" ht="33.75" customHeight="1" x14ac:dyDescent="0.4">
      <c r="B8" s="2453"/>
      <c r="C8" s="2493"/>
      <c r="D8" s="2493"/>
      <c r="F8" s="1170"/>
    </row>
    <row r="9" spans="2:7" s="1176" customFormat="1" ht="33.75" customHeight="1" thickBot="1" x14ac:dyDescent="0.45">
      <c r="B9" s="2454"/>
      <c r="C9" s="2382"/>
      <c r="D9" s="2444"/>
      <c r="F9" s="1170"/>
    </row>
    <row r="10" spans="2:7" s="1176" customFormat="1" ht="33.75" customHeight="1" x14ac:dyDescent="0.4">
      <c r="B10" s="2452"/>
      <c r="C10" s="2383"/>
      <c r="D10" s="2445"/>
      <c r="F10" s="1170"/>
    </row>
    <row r="11" spans="2:7" ht="33.75" customHeight="1" x14ac:dyDescent="0.35">
      <c r="B11" s="2455" t="s">
        <v>1091</v>
      </c>
      <c r="C11" s="2384"/>
      <c r="D11" s="2440"/>
    </row>
    <row r="12" spans="2:7" ht="33.75" customHeight="1" x14ac:dyDescent="0.35">
      <c r="B12" s="2456" t="s">
        <v>1092</v>
      </c>
      <c r="C12" s="2393" t="s">
        <v>1437</v>
      </c>
      <c r="D12" s="2394">
        <v>168.02099999999999</v>
      </c>
      <c r="F12" s="1172" t="s">
        <v>110</v>
      </c>
      <c r="G12" s="1172" t="s">
        <v>110</v>
      </c>
    </row>
    <row r="13" spans="2:7" ht="33.75" customHeight="1" x14ac:dyDescent="0.35">
      <c r="B13" s="2456"/>
      <c r="C13" s="2395" t="s">
        <v>1438</v>
      </c>
      <c r="D13" s="2396">
        <v>17.907</v>
      </c>
      <c r="F13" s="1172"/>
      <c r="G13" s="1172"/>
    </row>
    <row r="14" spans="2:7" ht="33.75" customHeight="1" thickBot="1" x14ac:dyDescent="0.4">
      <c r="B14" s="2457"/>
      <c r="C14" s="2397" t="s">
        <v>1439</v>
      </c>
      <c r="D14" s="2398">
        <v>1152.9359999999999</v>
      </c>
      <c r="F14" s="1172"/>
      <c r="G14" s="1172"/>
    </row>
    <row r="15" spans="2:7" ht="33.75" customHeight="1" x14ac:dyDescent="0.35">
      <c r="B15" s="2458" t="s">
        <v>1094</v>
      </c>
      <c r="C15" s="2393" t="s">
        <v>1437</v>
      </c>
      <c r="D15" s="2399">
        <v>132.30000000000001</v>
      </c>
      <c r="F15" s="1172"/>
      <c r="G15" s="1172"/>
    </row>
    <row r="16" spans="2:7" ht="33.75" customHeight="1" x14ac:dyDescent="0.35">
      <c r="B16" s="2459"/>
      <c r="C16" s="2395" t="s">
        <v>1438</v>
      </c>
      <c r="D16" s="2394">
        <v>91</v>
      </c>
      <c r="F16" s="1172"/>
      <c r="G16" s="1172"/>
    </row>
    <row r="17" spans="2:7" ht="33.75" customHeight="1" x14ac:dyDescent="0.35">
      <c r="B17" s="2459"/>
      <c r="C17" s="2393" t="s">
        <v>1440</v>
      </c>
      <c r="D17" s="2394">
        <v>103.5</v>
      </c>
      <c r="F17" s="1172"/>
      <c r="G17" s="1172"/>
    </row>
    <row r="18" spans="2:7" ht="33.75" customHeight="1" thickBot="1" x14ac:dyDescent="0.4">
      <c r="B18" s="2459"/>
      <c r="C18" s="2397" t="s">
        <v>1439</v>
      </c>
      <c r="D18" s="2394">
        <v>1523.2360000000001</v>
      </c>
      <c r="F18" s="1172"/>
      <c r="G18" s="1172"/>
    </row>
    <row r="19" spans="2:7" ht="33.75" customHeight="1" x14ac:dyDescent="0.35">
      <c r="B19" s="2460" t="s">
        <v>1095</v>
      </c>
      <c r="C19" s="2400" t="s">
        <v>1112</v>
      </c>
      <c r="D19" s="2399">
        <v>437.09199999999998</v>
      </c>
      <c r="F19" s="1172"/>
      <c r="G19" s="1172"/>
    </row>
    <row r="20" spans="2:7" ht="33.75" customHeight="1" x14ac:dyDescent="0.35">
      <c r="B20" s="2461"/>
      <c r="C20" s="2393" t="s">
        <v>1441</v>
      </c>
      <c r="D20" s="2394">
        <v>186.86</v>
      </c>
      <c r="F20" s="1172"/>
      <c r="G20" s="1172"/>
    </row>
    <row r="21" spans="2:7" ht="33.75" customHeight="1" x14ac:dyDescent="0.35">
      <c r="B21" s="2461"/>
      <c r="C21" s="2393" t="s">
        <v>1442</v>
      </c>
      <c r="D21" s="2394">
        <v>129.75200000000001</v>
      </c>
      <c r="F21" s="1172"/>
      <c r="G21" s="1172"/>
    </row>
    <row r="22" spans="2:7" ht="33.75" customHeight="1" x14ac:dyDescent="0.35">
      <c r="B22" s="2461"/>
      <c r="C22" s="2393" t="s">
        <v>1443</v>
      </c>
      <c r="D22" s="2394">
        <v>217.80500000000001</v>
      </c>
      <c r="F22" s="1172"/>
      <c r="G22" s="1172"/>
    </row>
    <row r="23" spans="2:7" ht="33.75" customHeight="1" x14ac:dyDescent="0.35">
      <c r="B23" s="2461"/>
      <c r="C23" s="2393" t="s">
        <v>1106</v>
      </c>
      <c r="D23" s="2394">
        <v>167.005</v>
      </c>
      <c r="F23" s="1172"/>
      <c r="G23" s="1172"/>
    </row>
    <row r="24" spans="2:7" ht="33.75" customHeight="1" x14ac:dyDescent="0.35">
      <c r="B24" s="2461"/>
      <c r="C24" s="2393" t="s">
        <v>1444</v>
      </c>
      <c r="D24" s="2394">
        <v>47.835999999999999</v>
      </c>
      <c r="F24" s="1172"/>
      <c r="G24" s="1172"/>
    </row>
    <row r="25" spans="2:7" ht="33.75" customHeight="1" x14ac:dyDescent="0.35">
      <c r="B25" s="2461"/>
      <c r="C25" s="2395" t="s">
        <v>1445</v>
      </c>
      <c r="D25" s="2396">
        <v>467.53800000000001</v>
      </c>
      <c r="F25" s="1172"/>
      <c r="G25" s="1172"/>
    </row>
    <row r="26" spans="2:7" ht="33.75" customHeight="1" thickBot="1" x14ac:dyDescent="0.4">
      <c r="B26" s="2462"/>
      <c r="C26" s="2397" t="s">
        <v>1439</v>
      </c>
      <c r="D26" s="2398">
        <v>495.06799999999998</v>
      </c>
      <c r="F26" s="1172"/>
      <c r="G26" s="1172"/>
    </row>
    <row r="27" spans="2:7" ht="33.75" customHeight="1" x14ac:dyDescent="0.35">
      <c r="B27" s="2837" t="s">
        <v>1096</v>
      </c>
      <c r="C27" s="2401" t="s">
        <v>1437</v>
      </c>
      <c r="D27" s="2402">
        <v>168.02099999999999</v>
      </c>
      <c r="F27" s="1172"/>
      <c r="G27" s="1172"/>
    </row>
    <row r="28" spans="2:7" ht="33.75" customHeight="1" x14ac:dyDescent="0.35">
      <c r="B28" s="2838"/>
      <c r="C28" s="2395" t="s">
        <v>1438</v>
      </c>
      <c r="D28" s="2396">
        <v>115.57</v>
      </c>
      <c r="F28" s="1172"/>
      <c r="G28" s="1172"/>
    </row>
    <row r="29" spans="2:7" ht="33.75" customHeight="1" x14ac:dyDescent="0.35">
      <c r="B29" s="2838"/>
      <c r="C29" s="2395" t="s">
        <v>1440</v>
      </c>
      <c r="D29" s="2396">
        <v>131.44499999999999</v>
      </c>
      <c r="F29" s="1172"/>
      <c r="G29" s="1172"/>
    </row>
    <row r="30" spans="2:7" ht="33.75" customHeight="1" thickBot="1" x14ac:dyDescent="0.4">
      <c r="B30" s="2839"/>
      <c r="C30" s="2397" t="s">
        <v>1439</v>
      </c>
      <c r="D30" s="2398">
        <v>722.96500000000003</v>
      </c>
      <c r="F30" s="1172"/>
      <c r="G30" s="1172"/>
    </row>
    <row r="31" spans="2:7" ht="33.75" customHeight="1" x14ac:dyDescent="0.35">
      <c r="B31" s="2460" t="s">
        <v>1097</v>
      </c>
      <c r="C31" s="2400" t="s">
        <v>1446</v>
      </c>
      <c r="D31" s="2399">
        <v>867.40899999999999</v>
      </c>
      <c r="F31" s="1172"/>
      <c r="G31" s="1172"/>
    </row>
    <row r="32" spans="2:7" ht="33.75" customHeight="1" x14ac:dyDescent="0.35">
      <c r="B32" s="2461"/>
      <c r="C32" s="2393" t="s">
        <v>1447</v>
      </c>
      <c r="D32" s="2394">
        <v>830.26199999999994</v>
      </c>
      <c r="F32" s="1172"/>
      <c r="G32" s="1172"/>
    </row>
    <row r="33" spans="2:7" ht="33.75" customHeight="1" x14ac:dyDescent="0.35">
      <c r="B33" s="2461"/>
      <c r="C33" s="2393" t="s">
        <v>1448</v>
      </c>
      <c r="D33" s="2394">
        <v>170.56100000000001</v>
      </c>
      <c r="F33" s="1172"/>
      <c r="G33" s="1172"/>
    </row>
    <row r="34" spans="2:7" ht="33.75" customHeight="1" x14ac:dyDescent="0.35">
      <c r="B34" s="2461"/>
      <c r="C34" s="2393" t="s">
        <v>1449</v>
      </c>
      <c r="D34" s="2394">
        <v>115.57</v>
      </c>
      <c r="F34" s="1172"/>
      <c r="G34" s="1172"/>
    </row>
    <row r="35" spans="2:7" ht="33.75" customHeight="1" x14ac:dyDescent="0.35">
      <c r="B35" s="2461"/>
      <c r="C35" s="2395" t="s">
        <v>1439</v>
      </c>
      <c r="D35" s="2396">
        <v>869.173</v>
      </c>
      <c r="F35" s="1172"/>
      <c r="G35" s="1172"/>
    </row>
    <row r="36" spans="2:7" ht="33.75" customHeight="1" thickBot="1" x14ac:dyDescent="0.4">
      <c r="B36" s="2462"/>
      <c r="C36" s="2397" t="s">
        <v>1440</v>
      </c>
      <c r="D36" s="2398">
        <v>262.89</v>
      </c>
      <c r="F36" s="1172"/>
      <c r="G36" s="1172"/>
    </row>
    <row r="37" spans="2:7" ht="33.75" customHeight="1" x14ac:dyDescent="0.35">
      <c r="B37" s="2463" t="s">
        <v>1098</v>
      </c>
      <c r="C37" s="2400" t="s">
        <v>1450</v>
      </c>
      <c r="D37" s="2399">
        <v>3.9169999999999998</v>
      </c>
      <c r="F37" s="1172"/>
      <c r="G37" s="1172"/>
    </row>
    <row r="38" spans="2:7" ht="33.75" customHeight="1" x14ac:dyDescent="0.35">
      <c r="B38" s="2464"/>
      <c r="C38" s="2403" t="s">
        <v>1451</v>
      </c>
      <c r="D38" s="2396">
        <v>336.04199999999997</v>
      </c>
      <c r="F38" s="1172"/>
      <c r="G38" s="1172"/>
    </row>
    <row r="39" spans="2:7" ht="33.75" customHeight="1" thickBot="1" x14ac:dyDescent="0.4">
      <c r="B39" s="2465"/>
      <c r="C39" s="2404" t="s">
        <v>1439</v>
      </c>
      <c r="D39" s="2398">
        <v>713.66399999999999</v>
      </c>
      <c r="F39" s="1172"/>
      <c r="G39" s="1172"/>
    </row>
    <row r="40" spans="2:7" ht="33.75" customHeight="1" x14ac:dyDescent="0.35">
      <c r="B40" s="2837" t="s">
        <v>1099</v>
      </c>
      <c r="C40" s="2401" t="s">
        <v>1452</v>
      </c>
      <c r="D40" s="2402">
        <v>312.42</v>
      </c>
      <c r="F40" s="1172"/>
      <c r="G40" s="1172"/>
    </row>
    <row r="41" spans="2:7" ht="33.75" customHeight="1" x14ac:dyDescent="0.35">
      <c r="B41" s="2838"/>
      <c r="C41" s="2395" t="s">
        <v>1453</v>
      </c>
      <c r="D41" s="2396">
        <v>300</v>
      </c>
      <c r="F41" s="1172"/>
      <c r="G41" s="1172"/>
    </row>
    <row r="42" spans="2:7" ht="33.75" customHeight="1" x14ac:dyDescent="0.35">
      <c r="B42" s="2838"/>
      <c r="C42" s="2395" t="s">
        <v>1454</v>
      </c>
      <c r="D42" s="2396">
        <v>150.68</v>
      </c>
      <c r="F42" s="1172"/>
      <c r="G42" s="1172"/>
    </row>
    <row r="43" spans="2:7" ht="33.75" customHeight="1" x14ac:dyDescent="0.35">
      <c r="B43" s="2838"/>
      <c r="C43" s="2395" t="s">
        <v>1437</v>
      </c>
      <c r="D43" s="2396">
        <v>168.02099999999999</v>
      </c>
      <c r="F43" s="1172"/>
      <c r="G43" s="1172"/>
    </row>
    <row r="44" spans="2:7" ht="33.75" customHeight="1" x14ac:dyDescent="0.35">
      <c r="B44" s="2838"/>
      <c r="C44" s="2395" t="s">
        <v>1438</v>
      </c>
      <c r="D44" s="2396">
        <v>17.907</v>
      </c>
      <c r="F44" s="1172"/>
      <c r="G44" s="1172"/>
    </row>
    <row r="45" spans="2:7" ht="33.75" customHeight="1" thickBot="1" x14ac:dyDescent="0.4">
      <c r="B45" s="2839"/>
      <c r="C45" s="2397" t="s">
        <v>1093</v>
      </c>
      <c r="D45" s="2405">
        <v>742.41899999999998</v>
      </c>
      <c r="F45" s="1172"/>
      <c r="G45" s="1172"/>
    </row>
    <row r="46" spans="2:7" ht="33.75" customHeight="1" x14ac:dyDescent="0.35">
      <c r="B46" s="2463" t="s">
        <v>1102</v>
      </c>
      <c r="C46" s="2400" t="s">
        <v>1437</v>
      </c>
      <c r="D46" s="2399">
        <v>168.02099999999999</v>
      </c>
      <c r="F46" s="1172"/>
      <c r="G46" s="1172"/>
    </row>
    <row r="47" spans="2:7" ht="33.75" customHeight="1" x14ac:dyDescent="0.35">
      <c r="B47" s="2464"/>
      <c r="C47" s="2403" t="s">
        <v>1455</v>
      </c>
      <c r="D47" s="2396">
        <v>41.402000000000001</v>
      </c>
      <c r="F47" s="1172"/>
      <c r="G47" s="1172"/>
    </row>
    <row r="48" spans="2:7" ht="33.75" customHeight="1" thickBot="1" x14ac:dyDescent="0.4">
      <c r="B48" s="2466"/>
      <c r="C48" s="2404" t="s">
        <v>1439</v>
      </c>
      <c r="D48" s="2398">
        <v>427.01</v>
      </c>
      <c r="F48" s="1172"/>
      <c r="G48" s="1172"/>
    </row>
    <row r="49" spans="2:7" ht="33.75" customHeight="1" x14ac:dyDescent="0.35">
      <c r="B49" s="2833" t="s">
        <v>1101</v>
      </c>
      <c r="C49" s="2400" t="s">
        <v>1437</v>
      </c>
      <c r="D49" s="2399">
        <v>168.02099999999999</v>
      </c>
      <c r="F49" s="1172"/>
      <c r="G49" s="1172"/>
    </row>
    <row r="50" spans="2:7" ht="33.75" customHeight="1" x14ac:dyDescent="0.35">
      <c r="B50" s="2836"/>
      <c r="C50" s="2395" t="s">
        <v>1456</v>
      </c>
      <c r="D50" s="2396">
        <v>115.57</v>
      </c>
      <c r="F50" s="1172"/>
      <c r="G50" s="1172"/>
    </row>
    <row r="51" spans="2:7" ht="33.75" customHeight="1" thickBot="1" x14ac:dyDescent="0.4">
      <c r="B51" s="2840"/>
      <c r="C51" s="2404" t="s">
        <v>1439</v>
      </c>
      <c r="D51" s="2406">
        <v>237.35400000000001</v>
      </c>
      <c r="F51" s="1172"/>
      <c r="G51" s="1172"/>
    </row>
    <row r="52" spans="2:7" ht="33.75" customHeight="1" x14ac:dyDescent="0.35">
      <c r="B52" s="2460" t="s">
        <v>1100</v>
      </c>
      <c r="C52" s="2400" t="s">
        <v>1437</v>
      </c>
      <c r="D52" s="2399">
        <v>168.02099999999999</v>
      </c>
      <c r="G52" s="1164"/>
    </row>
    <row r="53" spans="2:7" ht="33.75" customHeight="1" x14ac:dyDescent="0.35">
      <c r="B53" s="2467"/>
      <c r="C53" s="2403" t="s">
        <v>1440</v>
      </c>
      <c r="D53" s="2394">
        <v>131.44499999999999</v>
      </c>
      <c r="G53" s="1164"/>
    </row>
    <row r="54" spans="2:7" ht="33.75" customHeight="1" x14ac:dyDescent="0.35">
      <c r="B54" s="2467"/>
      <c r="C54" s="2395" t="s">
        <v>1438</v>
      </c>
      <c r="D54" s="2394">
        <v>17.907</v>
      </c>
      <c r="G54" s="1164"/>
    </row>
    <row r="55" spans="2:7" ht="33.75" customHeight="1" x14ac:dyDescent="0.35">
      <c r="B55" s="2467"/>
      <c r="C55" s="2395" t="s">
        <v>1457</v>
      </c>
      <c r="D55" s="2394">
        <v>19.05</v>
      </c>
      <c r="G55" s="1164"/>
    </row>
    <row r="56" spans="2:7" ht="33.75" customHeight="1" x14ac:dyDescent="0.35">
      <c r="B56" s="2467"/>
      <c r="C56" s="2395" t="s">
        <v>1458</v>
      </c>
      <c r="D56" s="2394">
        <v>11.938000000000001</v>
      </c>
      <c r="G56" s="1164"/>
    </row>
    <row r="57" spans="2:7" ht="33.75" customHeight="1" thickBot="1" x14ac:dyDescent="0.4">
      <c r="B57" s="2462"/>
      <c r="C57" s="2397" t="s">
        <v>1439</v>
      </c>
      <c r="D57" s="2405">
        <v>248</v>
      </c>
      <c r="F57" s="1172"/>
      <c r="G57" s="1172"/>
    </row>
    <row r="58" spans="2:7" ht="33.75" customHeight="1" x14ac:dyDescent="0.35">
      <c r="B58" s="2837" t="s">
        <v>1103</v>
      </c>
      <c r="C58" s="2400" t="s">
        <v>1459</v>
      </c>
      <c r="D58" s="2399">
        <v>8037.5770000000002</v>
      </c>
      <c r="F58" s="1172"/>
      <c r="G58" s="1172"/>
    </row>
    <row r="59" spans="2:7" ht="33.75" customHeight="1" x14ac:dyDescent="0.35">
      <c r="B59" s="2838"/>
      <c r="C59" s="2395" t="s">
        <v>1460</v>
      </c>
      <c r="D59" s="2396">
        <v>302.26100000000002</v>
      </c>
      <c r="F59" s="1172"/>
      <c r="G59" s="1172"/>
    </row>
    <row r="60" spans="2:7" ht="33.75" customHeight="1" x14ac:dyDescent="0.35">
      <c r="B60" s="2838"/>
      <c r="C60" s="2395" t="s">
        <v>1437</v>
      </c>
      <c r="D60" s="2396">
        <v>168.02199999999999</v>
      </c>
      <c r="F60" s="1172"/>
      <c r="G60" s="1172"/>
    </row>
    <row r="61" spans="2:7" ht="33.75" customHeight="1" x14ac:dyDescent="0.35">
      <c r="B61" s="2838"/>
      <c r="C61" s="2395" t="s">
        <v>1456</v>
      </c>
      <c r="D61" s="2396">
        <v>115.57</v>
      </c>
      <c r="F61" s="1172"/>
      <c r="G61" s="1172"/>
    </row>
    <row r="62" spans="2:7" ht="33.75" customHeight="1" thickBot="1" x14ac:dyDescent="0.4">
      <c r="B62" s="2839"/>
      <c r="C62" s="2397" t="s">
        <v>1439</v>
      </c>
      <c r="D62" s="2398">
        <v>142.65199999999999</v>
      </c>
      <c r="F62" s="1172"/>
      <c r="G62" s="1172"/>
    </row>
    <row r="63" spans="2:7" ht="33.75" customHeight="1" x14ac:dyDescent="0.35">
      <c r="B63" s="2833" t="s">
        <v>1104</v>
      </c>
      <c r="C63" s="2400" t="s">
        <v>1437</v>
      </c>
      <c r="D63" s="2405">
        <v>168.02099999999999</v>
      </c>
      <c r="G63" s="1164"/>
    </row>
    <row r="64" spans="2:7" ht="33.75" customHeight="1" x14ac:dyDescent="0.35">
      <c r="B64" s="2834"/>
      <c r="C64" s="2403" t="s">
        <v>1440</v>
      </c>
      <c r="D64" s="2396">
        <v>131.44499999999999</v>
      </c>
      <c r="G64" s="1164"/>
    </row>
    <row r="65" spans="2:7" ht="33.75" customHeight="1" thickBot="1" x14ac:dyDescent="0.4">
      <c r="B65" s="2835"/>
      <c r="C65" s="2404" t="s">
        <v>1439</v>
      </c>
      <c r="D65" s="2406">
        <v>458.22199999999998</v>
      </c>
      <c r="F65" s="1172"/>
      <c r="G65" s="1172"/>
    </row>
    <row r="66" spans="2:7" ht="33.75" customHeight="1" x14ac:dyDescent="0.35">
      <c r="B66" s="2833" t="s">
        <v>1110</v>
      </c>
      <c r="C66" s="2400" t="s">
        <v>1437</v>
      </c>
      <c r="D66" s="2399">
        <v>168.02099999999999</v>
      </c>
      <c r="G66" s="1164"/>
    </row>
    <row r="67" spans="2:7" ht="33.75" customHeight="1" x14ac:dyDescent="0.35">
      <c r="B67" s="2836"/>
      <c r="C67" s="2403" t="s">
        <v>1440</v>
      </c>
      <c r="D67" s="2396">
        <v>131.44499999999999</v>
      </c>
      <c r="G67" s="1164"/>
    </row>
    <row r="68" spans="2:7" ht="33.75" customHeight="1" thickBot="1" x14ac:dyDescent="0.4">
      <c r="B68" s="2836"/>
      <c r="C68" s="2407" t="s">
        <v>1439</v>
      </c>
      <c r="D68" s="2406">
        <v>318.24200000000002</v>
      </c>
      <c r="F68" s="1172"/>
      <c r="G68" s="1172"/>
    </row>
    <row r="69" spans="2:7" ht="33.75" customHeight="1" x14ac:dyDescent="0.35">
      <c r="B69" s="2837" t="s">
        <v>1107</v>
      </c>
      <c r="C69" s="2400" t="s">
        <v>1437</v>
      </c>
      <c r="D69" s="2394">
        <v>168.02099999999999</v>
      </c>
      <c r="F69" s="1172"/>
      <c r="G69" s="1172"/>
    </row>
    <row r="70" spans="2:7" ht="33.75" customHeight="1" x14ac:dyDescent="0.35">
      <c r="B70" s="2838"/>
      <c r="C70" s="2395" t="s">
        <v>1456</v>
      </c>
      <c r="D70" s="2396">
        <v>17.907</v>
      </c>
      <c r="F70" s="1172"/>
      <c r="G70" s="1172"/>
    </row>
    <row r="71" spans="2:7" ht="33.75" customHeight="1" x14ac:dyDescent="0.35">
      <c r="B71" s="2838"/>
      <c r="C71" s="2395" t="s">
        <v>1461</v>
      </c>
      <c r="D71" s="2396">
        <v>75</v>
      </c>
      <c r="F71" s="1172"/>
      <c r="G71" s="1172"/>
    </row>
    <row r="72" spans="2:7" ht="33.75" customHeight="1" x14ac:dyDescent="0.35">
      <c r="B72" s="2838"/>
      <c r="C72" s="2395" t="s">
        <v>1462</v>
      </c>
      <c r="D72" s="2396">
        <v>18.085999999999999</v>
      </c>
      <c r="F72" s="1172"/>
      <c r="G72" s="1172"/>
    </row>
    <row r="73" spans="2:7" ht="33.75" customHeight="1" thickBot="1" x14ac:dyDescent="0.4">
      <c r="B73" s="2839"/>
      <c r="C73" s="2404" t="s">
        <v>1439</v>
      </c>
      <c r="D73" s="2408">
        <v>561.54200000000003</v>
      </c>
      <c r="F73" s="1172"/>
      <c r="G73" s="1172"/>
    </row>
    <row r="74" spans="2:7" ht="33.75" customHeight="1" x14ac:dyDescent="0.35">
      <c r="B74" s="2461" t="s">
        <v>1105</v>
      </c>
      <c r="C74" s="2400" t="s">
        <v>1437</v>
      </c>
      <c r="D74" s="2402">
        <v>168.02099999999999</v>
      </c>
      <c r="F74" s="1172"/>
      <c r="G74" s="1172"/>
    </row>
    <row r="75" spans="2:7" ht="33.75" customHeight="1" x14ac:dyDescent="0.35">
      <c r="B75" s="2461"/>
      <c r="C75" s="2403" t="s">
        <v>1440</v>
      </c>
      <c r="D75" s="2396">
        <v>131.44499999999999</v>
      </c>
      <c r="F75" s="1172"/>
      <c r="G75" s="1172"/>
    </row>
    <row r="76" spans="2:7" ht="33.75" customHeight="1" thickBot="1" x14ac:dyDescent="0.4">
      <c r="B76" s="2461"/>
      <c r="C76" s="2404" t="s">
        <v>1439</v>
      </c>
      <c r="D76" s="2406">
        <v>292.56900000000002</v>
      </c>
      <c r="F76" s="1172"/>
      <c r="G76" s="1172"/>
    </row>
    <row r="77" spans="2:7" ht="33.75" customHeight="1" x14ac:dyDescent="0.35">
      <c r="B77" s="2833" t="s">
        <v>1108</v>
      </c>
      <c r="C77" s="2400" t="s">
        <v>1437</v>
      </c>
      <c r="D77" s="2394">
        <v>168.02199999999999</v>
      </c>
      <c r="G77" s="1164"/>
    </row>
    <row r="78" spans="2:7" ht="33.75" customHeight="1" x14ac:dyDescent="0.35">
      <c r="B78" s="2836"/>
      <c r="C78" s="2403" t="s">
        <v>1440</v>
      </c>
      <c r="D78" s="2396">
        <v>131.44499999999999</v>
      </c>
      <c r="G78" s="1164"/>
    </row>
    <row r="79" spans="2:7" ht="33.75" customHeight="1" x14ac:dyDescent="0.35">
      <c r="B79" s="2836"/>
      <c r="C79" s="2407" t="s">
        <v>1438</v>
      </c>
      <c r="D79" s="2408">
        <v>17.907</v>
      </c>
      <c r="G79" s="1164"/>
    </row>
    <row r="80" spans="2:7" ht="33.75" customHeight="1" thickBot="1" x14ac:dyDescent="0.4">
      <c r="B80" s="2840"/>
      <c r="C80" s="2404" t="s">
        <v>1439</v>
      </c>
      <c r="D80" s="2406">
        <v>360.49</v>
      </c>
      <c r="F80" s="1172"/>
      <c r="G80" s="1172"/>
    </row>
    <row r="81" spans="2:7" ht="33.75" customHeight="1" x14ac:dyDescent="0.35">
      <c r="B81" s="2463" t="s">
        <v>1109</v>
      </c>
      <c r="C81" s="2400" t="s">
        <v>1437</v>
      </c>
      <c r="D81" s="2399">
        <v>336.04199999999997</v>
      </c>
      <c r="G81" s="1164"/>
    </row>
    <row r="82" spans="2:7" ht="33.75" customHeight="1" thickBot="1" x14ac:dyDescent="0.4">
      <c r="B82" s="2465"/>
      <c r="C82" s="2404" t="s">
        <v>1439</v>
      </c>
      <c r="D82" s="2406">
        <v>558.88900000000001</v>
      </c>
      <c r="F82" s="1172"/>
      <c r="G82" s="1172"/>
    </row>
    <row r="83" spans="2:7" ht="33.75" customHeight="1" x14ac:dyDescent="0.35">
      <c r="B83" s="2837" t="s">
        <v>1111</v>
      </c>
      <c r="C83" s="2400" t="s">
        <v>1463</v>
      </c>
      <c r="D83" s="2399">
        <v>388.899</v>
      </c>
      <c r="F83" s="1172"/>
      <c r="G83" s="1172"/>
    </row>
    <row r="84" spans="2:7" ht="33.75" customHeight="1" x14ac:dyDescent="0.35">
      <c r="B84" s="2841"/>
      <c r="C84" s="2395" t="s">
        <v>1464</v>
      </c>
      <c r="D84" s="2396">
        <v>793.32100000000003</v>
      </c>
      <c r="F84" s="1172"/>
      <c r="G84" s="1172"/>
    </row>
    <row r="85" spans="2:7" ht="33.75" customHeight="1" x14ac:dyDescent="0.35">
      <c r="B85" s="2841"/>
      <c r="C85" s="2395" t="s">
        <v>1465</v>
      </c>
      <c r="D85" s="2396">
        <v>304.8</v>
      </c>
      <c r="F85" s="1172"/>
      <c r="G85" s="1172"/>
    </row>
    <row r="86" spans="2:7" ht="33.75" customHeight="1" x14ac:dyDescent="0.35">
      <c r="B86" s="2841"/>
      <c r="C86" s="2395" t="s">
        <v>1437</v>
      </c>
      <c r="D86" s="2396">
        <v>168.02099999999999</v>
      </c>
      <c r="F86" s="1172"/>
      <c r="G86" s="1172"/>
    </row>
    <row r="87" spans="2:7" ht="33.75" customHeight="1" x14ac:dyDescent="0.35">
      <c r="B87" s="2841"/>
      <c r="C87" s="2403" t="s">
        <v>1440</v>
      </c>
      <c r="D87" s="2405">
        <v>131.44499999999999</v>
      </c>
      <c r="F87" s="1172"/>
      <c r="G87" s="1172"/>
    </row>
    <row r="88" spans="2:7" ht="33.75" customHeight="1" thickBot="1" x14ac:dyDescent="0.4">
      <c r="B88" s="2839"/>
      <c r="C88" s="2404" t="s">
        <v>1439</v>
      </c>
      <c r="D88" s="2406">
        <v>225.25899999999999</v>
      </c>
      <c r="F88" s="1172"/>
      <c r="G88" s="1172"/>
    </row>
    <row r="89" spans="2:7" s="2263" customFormat="1" ht="33.75" customHeight="1" thickBot="1" x14ac:dyDescent="0.45">
      <c r="B89" s="2391" t="s">
        <v>1113</v>
      </c>
      <c r="C89" s="2441"/>
      <c r="D89" s="2494">
        <f>SUM(D12:D88)+1</f>
        <v>29250.14</v>
      </c>
      <c r="E89" s="2263" t="s">
        <v>110</v>
      </c>
      <c r="F89" s="1173"/>
      <c r="G89" s="1173"/>
    </row>
    <row r="90" spans="2:7" ht="33.75" customHeight="1" x14ac:dyDescent="0.35">
      <c r="B90" s="2460" t="s">
        <v>270</v>
      </c>
      <c r="C90" s="2400" t="s">
        <v>1466</v>
      </c>
      <c r="D90" s="2394">
        <v>1330.1980000000001</v>
      </c>
      <c r="F90" s="1172"/>
      <c r="G90" s="1172"/>
    </row>
    <row r="91" spans="2:7" ht="33.75" customHeight="1" x14ac:dyDescent="0.35">
      <c r="B91" s="2467"/>
      <c r="C91" s="2393" t="s">
        <v>1467</v>
      </c>
      <c r="D91" s="2394">
        <v>739.14</v>
      </c>
      <c r="F91" s="1172"/>
      <c r="G91" s="1172"/>
    </row>
    <row r="92" spans="2:7" ht="33.75" customHeight="1" x14ac:dyDescent="0.35">
      <c r="B92" s="2461"/>
      <c r="C92" s="2393" t="s">
        <v>1468</v>
      </c>
      <c r="D92" s="2394">
        <v>1841.296</v>
      </c>
      <c r="F92" s="1172"/>
      <c r="G92" s="1172"/>
    </row>
    <row r="93" spans="2:7" ht="33.75" customHeight="1" x14ac:dyDescent="0.35">
      <c r="B93" s="2461"/>
      <c r="C93" s="2407" t="s">
        <v>1469</v>
      </c>
      <c r="D93" s="2408">
        <v>988.91300000000001</v>
      </c>
      <c r="F93" s="1172"/>
      <c r="G93" s="1172"/>
    </row>
    <row r="94" spans="2:7" ht="33.75" customHeight="1" x14ac:dyDescent="0.35">
      <c r="B94" s="2461"/>
      <c r="C94" s="2407" t="s">
        <v>1470</v>
      </c>
      <c r="D94" s="2396">
        <v>793.32100000000003</v>
      </c>
      <c r="F94" s="1172"/>
      <c r="G94" s="1172"/>
    </row>
    <row r="95" spans="2:7" ht="33.75" customHeight="1" x14ac:dyDescent="0.35">
      <c r="B95" s="2461"/>
      <c r="C95" s="2395" t="s">
        <v>1471</v>
      </c>
      <c r="D95" s="2394">
        <v>793.32</v>
      </c>
      <c r="F95" s="1172"/>
      <c r="G95" s="1172"/>
    </row>
    <row r="96" spans="2:7" ht="33.75" customHeight="1" x14ac:dyDescent="0.35">
      <c r="B96" s="2461"/>
      <c r="C96" s="2395" t="s">
        <v>1472</v>
      </c>
      <c r="D96" s="2394">
        <v>510.54</v>
      </c>
      <c r="F96" s="1172"/>
      <c r="G96" s="1172"/>
    </row>
    <row r="97" spans="2:7" ht="33.75" customHeight="1" x14ac:dyDescent="0.35">
      <c r="B97" s="2461"/>
      <c r="C97" s="2393" t="s">
        <v>1473</v>
      </c>
      <c r="D97" s="2394">
        <v>671.83</v>
      </c>
      <c r="F97" s="1172"/>
      <c r="G97" s="1172"/>
    </row>
    <row r="98" spans="2:7" ht="33.75" customHeight="1" x14ac:dyDescent="0.35">
      <c r="B98" s="2461"/>
      <c r="C98" s="2393" t="s">
        <v>1474</v>
      </c>
      <c r="D98" s="2394">
        <v>728.78300000000002</v>
      </c>
      <c r="F98" s="1172"/>
      <c r="G98" s="1172"/>
    </row>
    <row r="99" spans="2:7" ht="33.75" customHeight="1" x14ac:dyDescent="0.35">
      <c r="B99" s="2461"/>
      <c r="C99" s="2393" t="s">
        <v>1475</v>
      </c>
      <c r="D99" s="2394">
        <v>1445.26</v>
      </c>
      <c r="F99" s="1172"/>
      <c r="G99" s="1172"/>
    </row>
    <row r="100" spans="2:7" ht="33.75" customHeight="1" x14ac:dyDescent="0.35">
      <c r="B100" s="2461"/>
      <c r="C100" s="2393" t="s">
        <v>1476</v>
      </c>
      <c r="D100" s="2394">
        <v>727.71</v>
      </c>
      <c r="F100" s="1172"/>
      <c r="G100" s="1172"/>
    </row>
    <row r="101" spans="2:7" ht="33.75" customHeight="1" x14ac:dyDescent="0.35">
      <c r="B101" s="2461"/>
      <c r="C101" s="2393" t="s">
        <v>1477</v>
      </c>
      <c r="D101" s="2394">
        <v>483.87</v>
      </c>
      <c r="F101" s="1172"/>
      <c r="G101" s="1172"/>
    </row>
    <row r="102" spans="2:7" ht="33.75" customHeight="1" x14ac:dyDescent="0.35">
      <c r="B102" s="2461"/>
      <c r="C102" s="2393" t="s">
        <v>1478</v>
      </c>
      <c r="D102" s="2394">
        <v>521.97</v>
      </c>
      <c r="F102" s="1172"/>
      <c r="G102" s="1172"/>
    </row>
    <row r="103" spans="2:7" ht="33.75" customHeight="1" x14ac:dyDescent="0.35">
      <c r="B103" s="2461"/>
      <c r="C103" s="2393" t="s">
        <v>1479</v>
      </c>
      <c r="D103" s="2394">
        <v>1167.1300000000001</v>
      </c>
      <c r="F103" s="1172"/>
      <c r="G103" s="1172"/>
    </row>
    <row r="104" spans="2:7" ht="33.75" customHeight="1" x14ac:dyDescent="0.35">
      <c r="B104" s="2461"/>
      <c r="C104" s="2393" t="s">
        <v>1480</v>
      </c>
      <c r="D104" s="2394">
        <v>259.08</v>
      </c>
      <c r="F104" s="1172"/>
      <c r="G104" s="1172"/>
    </row>
    <row r="105" spans="2:7" ht="33.75" customHeight="1" x14ac:dyDescent="0.35">
      <c r="B105" s="2461"/>
      <c r="C105" s="2393" t="s">
        <v>1481</v>
      </c>
      <c r="D105" s="2394">
        <v>1122.68</v>
      </c>
      <c r="F105" s="1172"/>
      <c r="G105" s="1172"/>
    </row>
    <row r="106" spans="2:7" ht="33.75" customHeight="1" x14ac:dyDescent="0.35">
      <c r="B106" s="2461"/>
      <c r="C106" s="2393" t="s">
        <v>1482</v>
      </c>
      <c r="D106" s="2394">
        <v>796.29</v>
      </c>
      <c r="F106" s="1172"/>
      <c r="G106" s="1172"/>
    </row>
    <row r="107" spans="2:7" ht="33.75" customHeight="1" x14ac:dyDescent="0.35">
      <c r="B107" s="2461"/>
      <c r="C107" s="2393" t="s">
        <v>1483</v>
      </c>
      <c r="D107" s="2394">
        <v>990.6</v>
      </c>
      <c r="F107" s="1172"/>
      <c r="G107" s="1172"/>
    </row>
    <row r="108" spans="2:7" ht="33.75" customHeight="1" x14ac:dyDescent="0.35">
      <c r="B108" s="2461"/>
      <c r="C108" s="2393" t="s">
        <v>1484</v>
      </c>
      <c r="D108" s="2394">
        <v>814.76800000000003</v>
      </c>
      <c r="F108" s="1172"/>
      <c r="G108" s="1172"/>
    </row>
    <row r="109" spans="2:7" ht="33.75" customHeight="1" x14ac:dyDescent="0.35">
      <c r="B109" s="2461"/>
      <c r="C109" s="2393" t="s">
        <v>1485</v>
      </c>
      <c r="D109" s="2394">
        <v>278.13</v>
      </c>
      <c r="F109" s="1172"/>
      <c r="G109" s="1172"/>
    </row>
    <row r="110" spans="2:7" ht="33.75" customHeight="1" x14ac:dyDescent="0.35">
      <c r="B110" s="2461"/>
      <c r="C110" s="2393" t="s">
        <v>1486</v>
      </c>
      <c r="D110" s="2394">
        <v>687.07</v>
      </c>
      <c r="F110" s="1172"/>
      <c r="G110" s="1172"/>
    </row>
    <row r="111" spans="2:7" ht="33.75" customHeight="1" x14ac:dyDescent="0.35">
      <c r="B111" s="2461"/>
      <c r="C111" s="2393" t="s">
        <v>1487</v>
      </c>
      <c r="D111" s="2394">
        <v>626.11</v>
      </c>
      <c r="F111" s="1172"/>
      <c r="G111" s="1172"/>
    </row>
    <row r="112" spans="2:7" ht="33.75" customHeight="1" x14ac:dyDescent="0.35">
      <c r="B112" s="2461"/>
      <c r="C112" s="2393" t="s">
        <v>1488</v>
      </c>
      <c r="D112" s="2394">
        <v>280.67</v>
      </c>
      <c r="F112" s="1172"/>
      <c r="G112" s="1172"/>
    </row>
    <row r="113" spans="2:7" ht="33.75" customHeight="1" x14ac:dyDescent="0.35">
      <c r="B113" s="2461"/>
      <c r="C113" s="2393" t="s">
        <v>1489</v>
      </c>
      <c r="D113" s="2394">
        <v>913.13</v>
      </c>
      <c r="F113" s="1172"/>
      <c r="G113" s="1172"/>
    </row>
    <row r="114" spans="2:7" ht="33.75" customHeight="1" x14ac:dyDescent="0.35">
      <c r="B114" s="2461"/>
      <c r="C114" s="2393" t="s">
        <v>1490</v>
      </c>
      <c r="D114" s="2394">
        <v>848.36</v>
      </c>
      <c r="F114" s="1172"/>
      <c r="G114" s="1172"/>
    </row>
    <row r="115" spans="2:7" ht="33.75" customHeight="1" x14ac:dyDescent="0.35">
      <c r="B115" s="2461"/>
      <c r="C115" s="2393" t="s">
        <v>1491</v>
      </c>
      <c r="D115" s="2394">
        <v>3325.6219999999998</v>
      </c>
      <c r="F115" s="1172"/>
      <c r="G115" s="1172"/>
    </row>
    <row r="116" spans="2:7" ht="33.75" customHeight="1" x14ac:dyDescent="0.35">
      <c r="B116" s="2461"/>
      <c r="C116" s="2393" t="s">
        <v>1492</v>
      </c>
      <c r="D116" s="2394">
        <v>284.04899999999998</v>
      </c>
      <c r="F116" s="1172"/>
      <c r="G116" s="1172"/>
    </row>
    <row r="117" spans="2:7" ht="33.75" customHeight="1" x14ac:dyDescent="0.35">
      <c r="B117" s="2461"/>
      <c r="C117" s="2393" t="s">
        <v>1493</v>
      </c>
      <c r="D117" s="2394">
        <v>284.89999999999998</v>
      </c>
      <c r="F117" s="1172"/>
      <c r="G117" s="1172"/>
    </row>
    <row r="118" spans="2:7" ht="33.75" customHeight="1" x14ac:dyDescent="0.35">
      <c r="B118" s="2461"/>
      <c r="C118" s="2393" t="s">
        <v>1494</v>
      </c>
      <c r="D118" s="2394">
        <v>419.1</v>
      </c>
      <c r="F118" s="1172"/>
      <c r="G118" s="1172"/>
    </row>
    <row r="119" spans="2:7" ht="33.75" customHeight="1" x14ac:dyDescent="0.35">
      <c r="B119" s="2461"/>
      <c r="C119" s="2393" t="s">
        <v>1495</v>
      </c>
      <c r="D119" s="2394">
        <v>730.25</v>
      </c>
      <c r="F119" s="1172"/>
      <c r="G119" s="1172"/>
    </row>
    <row r="120" spans="2:7" ht="33.75" customHeight="1" x14ac:dyDescent="0.35">
      <c r="B120" s="2461"/>
      <c r="C120" s="2393" t="s">
        <v>1496</v>
      </c>
      <c r="D120" s="2394">
        <v>952.5</v>
      </c>
      <c r="F120" s="1172"/>
      <c r="G120" s="1172"/>
    </row>
    <row r="121" spans="2:7" ht="33.75" customHeight="1" x14ac:dyDescent="0.35">
      <c r="B121" s="2461"/>
      <c r="C121" s="2393" t="s">
        <v>1497</v>
      </c>
      <c r="D121" s="2394">
        <v>320.04000000000002</v>
      </c>
      <c r="F121" s="1172"/>
      <c r="G121" s="1172"/>
    </row>
    <row r="122" spans="2:7" ht="33.75" customHeight="1" x14ac:dyDescent="0.35">
      <c r="B122" s="2461"/>
      <c r="C122" s="2393" t="s">
        <v>1498</v>
      </c>
      <c r="D122" s="2394">
        <v>71.12</v>
      </c>
      <c r="F122" s="1172"/>
      <c r="G122" s="1172"/>
    </row>
    <row r="123" spans="2:7" ht="33.75" customHeight="1" x14ac:dyDescent="0.35">
      <c r="B123" s="2461"/>
      <c r="C123" s="2393" t="s">
        <v>1499</v>
      </c>
      <c r="D123" s="2394">
        <v>120.65</v>
      </c>
      <c r="F123" s="1172"/>
      <c r="G123" s="1172"/>
    </row>
    <row r="124" spans="2:7" ht="33.75" customHeight="1" x14ac:dyDescent="0.35">
      <c r="B124" s="2461"/>
      <c r="C124" s="2393" t="s">
        <v>1500</v>
      </c>
      <c r="D124" s="2394">
        <v>251.46</v>
      </c>
      <c r="F124" s="1172"/>
      <c r="G124" s="1172"/>
    </row>
    <row r="125" spans="2:7" ht="33.75" customHeight="1" x14ac:dyDescent="0.35">
      <c r="B125" s="2461"/>
      <c r="C125" s="2393" t="s">
        <v>1501</v>
      </c>
      <c r="D125" s="2394">
        <v>212.72499999999999</v>
      </c>
      <c r="F125" s="1172"/>
      <c r="G125" s="1172"/>
    </row>
    <row r="126" spans="2:7" ht="33.75" customHeight="1" x14ac:dyDescent="0.35">
      <c r="B126" s="2461"/>
      <c r="C126" s="2393" t="s">
        <v>1502</v>
      </c>
      <c r="D126" s="2394">
        <v>144.78</v>
      </c>
      <c r="F126" s="1172"/>
      <c r="G126" s="1172"/>
    </row>
    <row r="127" spans="2:7" ht="33.75" customHeight="1" x14ac:dyDescent="0.35">
      <c r="B127" s="2461"/>
      <c r="C127" s="2393" t="s">
        <v>1503</v>
      </c>
      <c r="D127" s="2394">
        <v>213.995</v>
      </c>
      <c r="F127" s="1172"/>
      <c r="G127" s="1172"/>
    </row>
    <row r="128" spans="2:7" ht="33.75" customHeight="1" x14ac:dyDescent="0.35">
      <c r="B128" s="2461"/>
      <c r="C128" s="2393" t="s">
        <v>1504</v>
      </c>
      <c r="D128" s="2394">
        <v>346.71</v>
      </c>
      <c r="F128" s="1172"/>
      <c r="G128" s="1172"/>
    </row>
    <row r="129" spans="2:7" ht="33.75" customHeight="1" x14ac:dyDescent="0.35">
      <c r="B129" s="2461"/>
      <c r="C129" s="2393" t="s">
        <v>1505</v>
      </c>
      <c r="D129" s="2394">
        <v>146.05000000000001</v>
      </c>
      <c r="F129" s="1172"/>
      <c r="G129" s="1172"/>
    </row>
    <row r="130" spans="2:7" ht="33.75" customHeight="1" x14ac:dyDescent="0.35">
      <c r="B130" s="2461"/>
      <c r="C130" s="2393" t="s">
        <v>1506</v>
      </c>
      <c r="D130" s="2394">
        <v>140.97</v>
      </c>
      <c r="F130" s="1172"/>
      <c r="G130" s="1172"/>
    </row>
    <row r="131" spans="2:7" ht="33.75" customHeight="1" x14ac:dyDescent="0.35">
      <c r="B131" s="2461"/>
      <c r="C131" s="2393" t="s">
        <v>1507</v>
      </c>
      <c r="D131" s="2394">
        <v>214.63</v>
      </c>
      <c r="F131" s="1172"/>
      <c r="G131" s="1172"/>
    </row>
    <row r="132" spans="2:7" ht="33.75" customHeight="1" x14ac:dyDescent="0.35">
      <c r="B132" s="2461"/>
      <c r="C132" s="2393" t="s">
        <v>1508</v>
      </c>
      <c r="D132" s="2394">
        <v>96.52</v>
      </c>
      <c r="F132" s="1172"/>
      <c r="G132" s="1172"/>
    </row>
    <row r="133" spans="2:7" ht="33.75" customHeight="1" x14ac:dyDescent="0.35">
      <c r="B133" s="2461"/>
      <c r="C133" s="2393" t="s">
        <v>1509</v>
      </c>
      <c r="D133" s="2394">
        <v>113.03</v>
      </c>
      <c r="F133" s="1172"/>
      <c r="G133" s="1172"/>
    </row>
    <row r="134" spans="2:7" ht="33.75" customHeight="1" x14ac:dyDescent="0.35">
      <c r="B134" s="2461"/>
      <c r="C134" s="2393" t="s">
        <v>1510</v>
      </c>
      <c r="D134" s="2394">
        <v>124.46</v>
      </c>
      <c r="F134" s="1172"/>
      <c r="G134" s="1172"/>
    </row>
    <row r="135" spans="2:7" ht="33.75" customHeight="1" x14ac:dyDescent="0.35">
      <c r="B135" s="2461"/>
      <c r="C135" s="2393" t="s">
        <v>1511</v>
      </c>
      <c r="D135" s="2394">
        <v>227.33</v>
      </c>
      <c r="F135" s="1172"/>
      <c r="G135" s="1172"/>
    </row>
    <row r="136" spans="2:7" ht="33.75" customHeight="1" x14ac:dyDescent="0.35">
      <c r="B136" s="2461"/>
      <c r="C136" s="2393" t="s">
        <v>1512</v>
      </c>
      <c r="D136" s="2394">
        <v>444.5</v>
      </c>
      <c r="F136" s="1172"/>
      <c r="G136" s="1172"/>
    </row>
    <row r="137" spans="2:7" ht="33.75" customHeight="1" x14ac:dyDescent="0.35">
      <c r="B137" s="2461"/>
      <c r="C137" s="2395" t="s">
        <v>1513</v>
      </c>
      <c r="D137" s="2396">
        <v>55.88</v>
      </c>
      <c r="F137" s="1172"/>
      <c r="G137" s="1172"/>
    </row>
    <row r="138" spans="2:7" ht="33.75" customHeight="1" x14ac:dyDescent="0.35">
      <c r="B138" s="2461"/>
      <c r="C138" s="2395" t="s">
        <v>1514</v>
      </c>
      <c r="D138" s="2396">
        <v>6125.5360000000001</v>
      </c>
      <c r="F138" s="1172"/>
      <c r="G138" s="1172"/>
    </row>
    <row r="139" spans="2:7" ht="33.75" customHeight="1" x14ac:dyDescent="0.35">
      <c r="B139" s="2461"/>
      <c r="C139" s="2395" t="s">
        <v>1515</v>
      </c>
      <c r="D139" s="2396">
        <v>458</v>
      </c>
      <c r="F139" s="1172"/>
      <c r="G139" s="1172"/>
    </row>
    <row r="140" spans="2:7" ht="33.75" customHeight="1" x14ac:dyDescent="0.35">
      <c r="B140" s="2461"/>
      <c r="C140" s="2395" t="s">
        <v>1516</v>
      </c>
      <c r="D140" s="2396">
        <v>1364.376</v>
      </c>
      <c r="F140" s="1172"/>
      <c r="G140" s="1172"/>
    </row>
    <row r="141" spans="2:7" ht="33.75" customHeight="1" x14ac:dyDescent="0.35">
      <c r="B141" s="2461"/>
      <c r="C141" s="2395" t="s">
        <v>1517</v>
      </c>
      <c r="D141" s="2396">
        <v>2505.652</v>
      </c>
      <c r="F141" s="1172"/>
      <c r="G141" s="1172"/>
    </row>
    <row r="142" spans="2:7" ht="33.75" customHeight="1" x14ac:dyDescent="0.35">
      <c r="B142" s="2461"/>
      <c r="C142" s="2395" t="s">
        <v>1518</v>
      </c>
      <c r="D142" s="2396">
        <v>266.7</v>
      </c>
      <c r="F142" s="1172"/>
      <c r="G142" s="1172"/>
    </row>
    <row r="143" spans="2:7" ht="33.75" customHeight="1" x14ac:dyDescent="0.35">
      <c r="B143" s="2461"/>
      <c r="C143" s="2395" t="s">
        <v>1519</v>
      </c>
      <c r="D143" s="2396">
        <v>290.00700000000001</v>
      </c>
      <c r="F143" s="1172"/>
      <c r="G143" s="1172"/>
    </row>
    <row r="144" spans="2:7" ht="33.75" customHeight="1" thickBot="1" x14ac:dyDescent="0.4">
      <c r="B144" s="2461"/>
      <c r="C144" s="2404" t="s">
        <v>1520</v>
      </c>
      <c r="D144" s="2396">
        <v>327.00200000000001</v>
      </c>
      <c r="F144" s="1172"/>
      <c r="G144" s="1172"/>
    </row>
    <row r="145" spans="2:7" ht="33.75" customHeight="1" x14ac:dyDescent="0.35">
      <c r="B145" s="2842" t="s">
        <v>1521</v>
      </c>
      <c r="C145" s="2400" t="s">
        <v>1517</v>
      </c>
      <c r="D145" s="2399">
        <v>751.71299999999997</v>
      </c>
      <c r="F145" s="1172"/>
      <c r="G145" s="1172"/>
    </row>
    <row r="146" spans="2:7" ht="33.75" customHeight="1" x14ac:dyDescent="0.35">
      <c r="B146" s="2843"/>
      <c r="C146" s="2395" t="s">
        <v>1522</v>
      </c>
      <c r="D146" s="2396">
        <v>7468.4889999999996</v>
      </c>
      <c r="F146" s="1172"/>
      <c r="G146" s="1172"/>
    </row>
    <row r="147" spans="2:7" ht="33.75" customHeight="1" thickBot="1" x14ac:dyDescent="0.4">
      <c r="B147" s="2844"/>
      <c r="C147" s="2397" t="s">
        <v>1439</v>
      </c>
      <c r="D147" s="2398">
        <v>213.06399999999999</v>
      </c>
      <c r="F147" s="1172"/>
      <c r="G147" s="1172"/>
    </row>
    <row r="148" spans="2:7" ht="33.75" customHeight="1" x14ac:dyDescent="0.35">
      <c r="B148" s="2829" t="s">
        <v>1114</v>
      </c>
      <c r="C148" s="2400" t="s">
        <v>1523</v>
      </c>
      <c r="D148" s="2399">
        <v>394.97</v>
      </c>
      <c r="F148" s="1172"/>
      <c r="G148" s="1172"/>
    </row>
    <row r="149" spans="2:7" ht="33.75" customHeight="1" x14ac:dyDescent="0.35">
      <c r="B149" s="2821"/>
      <c r="C149" s="2395" t="s">
        <v>1517</v>
      </c>
      <c r="D149" s="2394">
        <v>2307.0819999999999</v>
      </c>
      <c r="F149" s="1172"/>
      <c r="G149" s="1172"/>
    </row>
    <row r="150" spans="2:7" ht="33.75" customHeight="1" x14ac:dyDescent="0.35">
      <c r="B150" s="2821"/>
      <c r="C150" s="2395" t="s">
        <v>1524</v>
      </c>
      <c r="D150" s="2396">
        <v>1714.183</v>
      </c>
      <c r="F150" s="1172"/>
      <c r="G150" s="1172"/>
    </row>
    <row r="151" spans="2:7" ht="33.75" customHeight="1" thickBot="1" x14ac:dyDescent="0.4">
      <c r="B151" s="2821"/>
      <c r="C151" s="2397" t="s">
        <v>1439</v>
      </c>
      <c r="D151" s="2398">
        <v>60.957000000000001</v>
      </c>
      <c r="F151" s="1172"/>
      <c r="G151" s="1172"/>
    </row>
    <row r="152" spans="2:7" ht="33.75" customHeight="1" x14ac:dyDescent="0.35">
      <c r="B152" s="2830" t="s">
        <v>1115</v>
      </c>
      <c r="C152" s="2400" t="s">
        <v>1517</v>
      </c>
      <c r="D152" s="2399">
        <v>841.24699999999996</v>
      </c>
      <c r="F152" s="1172"/>
      <c r="G152" s="1172"/>
    </row>
    <row r="153" spans="2:7" ht="33.75" customHeight="1" x14ac:dyDescent="0.35">
      <c r="B153" s="2845"/>
      <c r="C153" s="2395" t="s">
        <v>1522</v>
      </c>
      <c r="D153" s="2396">
        <v>5971.7749999999996</v>
      </c>
      <c r="F153" s="1172"/>
      <c r="G153" s="1172"/>
    </row>
    <row r="154" spans="2:7" ht="33.75" customHeight="1" thickBot="1" x14ac:dyDescent="0.4">
      <c r="B154" s="2468"/>
      <c r="C154" s="2404" t="s">
        <v>1439</v>
      </c>
      <c r="D154" s="2406">
        <v>124.52500000000001</v>
      </c>
      <c r="F154" s="1172"/>
      <c r="G154" s="1172"/>
    </row>
    <row r="155" spans="2:7" ht="33.75" customHeight="1" x14ac:dyDescent="0.35">
      <c r="B155" s="2820" t="s">
        <v>1116</v>
      </c>
      <c r="C155" s="2400" t="s">
        <v>1523</v>
      </c>
      <c r="D155" s="2399">
        <v>394.97</v>
      </c>
      <c r="F155" s="1172"/>
      <c r="G155" s="1172"/>
    </row>
    <row r="156" spans="2:7" ht="33.75" customHeight="1" x14ac:dyDescent="0.35">
      <c r="B156" s="2829"/>
      <c r="C156" s="2395" t="s">
        <v>1517</v>
      </c>
      <c r="D156" s="2396">
        <v>2272.9189999999999</v>
      </c>
      <c r="F156" s="1172"/>
      <c r="G156" s="1172"/>
    </row>
    <row r="157" spans="2:7" ht="33.75" customHeight="1" thickBot="1" x14ac:dyDescent="0.4">
      <c r="B157" s="2822"/>
      <c r="C157" s="2397" t="s">
        <v>1439</v>
      </c>
      <c r="D157" s="2398">
        <v>13.699</v>
      </c>
      <c r="F157" s="1172"/>
      <c r="G157" s="1172"/>
    </row>
    <row r="158" spans="2:7" ht="33.75" customHeight="1" x14ac:dyDescent="0.35">
      <c r="B158" s="2846" t="s">
        <v>1117</v>
      </c>
      <c r="C158" s="2400" t="s">
        <v>1525</v>
      </c>
      <c r="D158" s="2399">
        <v>926.99800000000005</v>
      </c>
      <c r="F158" s="1172"/>
      <c r="G158" s="1172"/>
    </row>
    <row r="159" spans="2:7" ht="33.75" customHeight="1" x14ac:dyDescent="0.35">
      <c r="B159" s="2847"/>
      <c r="C159" s="2395" t="s">
        <v>1517</v>
      </c>
      <c r="D159" s="2396">
        <v>1003.3</v>
      </c>
      <c r="F159" s="1172"/>
      <c r="G159" s="1172"/>
    </row>
    <row r="160" spans="2:7" ht="33.75" customHeight="1" thickBot="1" x14ac:dyDescent="0.4">
      <c r="B160" s="2848"/>
      <c r="C160" s="2397" t="s">
        <v>1439</v>
      </c>
      <c r="D160" s="2398">
        <v>30.456</v>
      </c>
      <c r="F160" s="1172"/>
      <c r="G160" s="1172"/>
    </row>
    <row r="161" spans="2:7" ht="33.75" customHeight="1" x14ac:dyDescent="0.35">
      <c r="B161" s="2849" t="s">
        <v>1118</v>
      </c>
      <c r="C161" s="2400" t="s">
        <v>1523</v>
      </c>
      <c r="D161" s="2394">
        <v>394.97</v>
      </c>
      <c r="F161" s="1172"/>
      <c r="G161" s="1172"/>
    </row>
    <row r="162" spans="2:7" ht="33.75" customHeight="1" x14ac:dyDescent="0.35">
      <c r="B162" s="2849"/>
      <c r="C162" s="2395" t="s">
        <v>1517</v>
      </c>
      <c r="D162" s="2396">
        <v>658.495</v>
      </c>
      <c r="F162" s="1172"/>
      <c r="G162" s="1172"/>
    </row>
    <row r="163" spans="2:7" ht="33.75" customHeight="1" x14ac:dyDescent="0.35">
      <c r="B163" s="2849"/>
      <c r="C163" s="2395" t="s">
        <v>1524</v>
      </c>
      <c r="D163" s="2396">
        <v>5482.3739999999998</v>
      </c>
      <c r="F163" s="1172"/>
      <c r="G163" s="1172"/>
    </row>
    <row r="164" spans="2:7" ht="33.75" customHeight="1" thickBot="1" x14ac:dyDescent="0.4">
      <c r="B164" s="2850"/>
      <c r="C164" s="2397" t="s">
        <v>1439</v>
      </c>
      <c r="D164" s="2405">
        <v>41.896000000000001</v>
      </c>
      <c r="F164" s="1172"/>
      <c r="G164" s="1172"/>
    </row>
    <row r="165" spans="2:7" ht="33.75" customHeight="1" x14ac:dyDescent="0.35">
      <c r="B165" s="2828" t="s">
        <v>1526</v>
      </c>
      <c r="C165" s="2400" t="s">
        <v>1523</v>
      </c>
      <c r="D165" s="2399">
        <v>394.97</v>
      </c>
      <c r="F165" s="1172"/>
      <c r="G165" s="1172"/>
    </row>
    <row r="166" spans="2:7" ht="33.75" customHeight="1" thickBot="1" x14ac:dyDescent="0.4">
      <c r="B166" s="2821"/>
      <c r="C166" s="2395" t="s">
        <v>1517</v>
      </c>
      <c r="D166" s="2394">
        <v>2116.8359999999998</v>
      </c>
      <c r="F166" s="1172"/>
      <c r="G166" s="1172"/>
    </row>
    <row r="167" spans="2:7" ht="33.75" customHeight="1" x14ac:dyDescent="0.35">
      <c r="B167" s="2828" t="s">
        <v>1119</v>
      </c>
      <c r="C167" s="2409" t="s">
        <v>1527</v>
      </c>
      <c r="D167" s="2399">
        <v>2211.1039999999998</v>
      </c>
      <c r="F167" s="1172"/>
      <c r="G167" s="1172"/>
    </row>
    <row r="168" spans="2:7" ht="33.75" customHeight="1" x14ac:dyDescent="0.35">
      <c r="B168" s="2821"/>
      <c r="C168" s="2410" t="s">
        <v>1528</v>
      </c>
      <c r="D168" s="2394">
        <v>1464.931</v>
      </c>
      <c r="F168" s="1172"/>
      <c r="G168" s="1172"/>
    </row>
    <row r="169" spans="2:7" ht="33.75" customHeight="1" x14ac:dyDescent="0.35">
      <c r="B169" s="2821"/>
      <c r="C169" s="2395" t="s">
        <v>1517</v>
      </c>
      <c r="D169" s="2394">
        <v>868.04499999999996</v>
      </c>
      <c r="F169" s="1172"/>
      <c r="G169" s="1172"/>
    </row>
    <row r="170" spans="2:7" ht="33.75" customHeight="1" thickBot="1" x14ac:dyDescent="0.4">
      <c r="B170" s="2822"/>
      <c r="C170" s="2397" t="s">
        <v>1439</v>
      </c>
      <c r="D170" s="2398">
        <v>82.350999999999999</v>
      </c>
      <c r="F170" s="1172"/>
      <c r="G170" s="1172"/>
    </row>
    <row r="171" spans="2:7" ht="33.75" customHeight="1" x14ac:dyDescent="0.35">
      <c r="B171" s="2820" t="s">
        <v>1120</v>
      </c>
      <c r="C171" s="2400" t="s">
        <v>1523</v>
      </c>
      <c r="D171" s="2399">
        <v>394.97</v>
      </c>
      <c r="F171" s="1172"/>
      <c r="G171" s="1172"/>
    </row>
    <row r="172" spans="2:7" ht="33.75" customHeight="1" x14ac:dyDescent="0.35">
      <c r="B172" s="2829"/>
      <c r="C172" s="2395" t="s">
        <v>1517</v>
      </c>
      <c r="D172" s="2405">
        <v>2272.9189999999999</v>
      </c>
      <c r="F172" s="1172"/>
      <c r="G172" s="1172"/>
    </row>
    <row r="173" spans="2:7" ht="33.75" customHeight="1" thickBot="1" x14ac:dyDescent="0.4">
      <c r="B173" s="2822"/>
      <c r="C173" s="2397" t="s">
        <v>1439</v>
      </c>
      <c r="D173" s="2406">
        <v>14.004</v>
      </c>
      <c r="F173" s="1172"/>
      <c r="G173" s="1172"/>
    </row>
    <row r="174" spans="2:7" ht="33.75" customHeight="1" x14ac:dyDescent="0.35">
      <c r="B174" s="2820" t="s">
        <v>1121</v>
      </c>
      <c r="C174" s="2395" t="s">
        <v>1445</v>
      </c>
      <c r="D174" s="2399">
        <v>792.73400000000004</v>
      </c>
      <c r="F174" s="1172"/>
      <c r="G174" s="1172"/>
    </row>
    <row r="175" spans="2:7" ht="33.75" customHeight="1" thickBot="1" x14ac:dyDescent="0.4">
      <c r="B175" s="2822"/>
      <c r="C175" s="2395" t="s">
        <v>1439</v>
      </c>
      <c r="D175" s="2398">
        <v>33.823</v>
      </c>
      <c r="F175" s="1172"/>
      <c r="G175" s="1172"/>
    </row>
    <row r="176" spans="2:7" ht="56.25" customHeight="1" x14ac:dyDescent="0.35">
      <c r="B176" s="2820" t="s">
        <v>1122</v>
      </c>
      <c r="C176" s="2448" t="s">
        <v>1529</v>
      </c>
      <c r="D176" s="2399">
        <v>812.19</v>
      </c>
      <c r="F176" s="1172"/>
      <c r="G176" s="1172"/>
    </row>
    <row r="177" spans="2:7" ht="33.75" customHeight="1" x14ac:dyDescent="0.35">
      <c r="B177" s="2821"/>
      <c r="C177" s="2395" t="s">
        <v>1517</v>
      </c>
      <c r="D177" s="2394">
        <v>782.82799999999997</v>
      </c>
      <c r="F177" s="1172"/>
      <c r="G177" s="1172"/>
    </row>
    <row r="178" spans="2:7" ht="33.75" customHeight="1" x14ac:dyDescent="0.35">
      <c r="B178" s="2821"/>
      <c r="C178" s="2395" t="s">
        <v>1524</v>
      </c>
      <c r="D178" s="2396">
        <v>6693.0690000000004</v>
      </c>
      <c r="F178" s="1172"/>
      <c r="G178" s="1172"/>
    </row>
    <row r="179" spans="2:7" ht="33.75" customHeight="1" thickBot="1" x14ac:dyDescent="0.4">
      <c r="B179" s="2821"/>
      <c r="C179" s="2397" t="s">
        <v>1439</v>
      </c>
      <c r="D179" s="2398">
        <v>403.392</v>
      </c>
      <c r="F179" s="1172"/>
      <c r="G179" s="1172"/>
    </row>
    <row r="180" spans="2:7" ht="33.75" customHeight="1" x14ac:dyDescent="0.35">
      <c r="B180" s="2830" t="s">
        <v>1530</v>
      </c>
      <c r="C180" s="2400" t="s">
        <v>1531</v>
      </c>
      <c r="D180" s="2399">
        <v>394.97</v>
      </c>
      <c r="F180" s="1172"/>
      <c r="G180" s="1172"/>
    </row>
    <row r="181" spans="2:7" ht="33.75" customHeight="1" x14ac:dyDescent="0.35">
      <c r="B181" s="2831"/>
      <c r="C181" s="2395" t="s">
        <v>1532</v>
      </c>
      <c r="D181" s="2396">
        <v>728.47199999999998</v>
      </c>
      <c r="F181" s="1172"/>
      <c r="G181" s="1172"/>
    </row>
    <row r="182" spans="2:7" ht="33.75" customHeight="1" x14ac:dyDescent="0.35">
      <c r="B182" s="2831"/>
      <c r="C182" s="2395" t="s">
        <v>1439</v>
      </c>
      <c r="D182" s="2396">
        <v>314.32</v>
      </c>
      <c r="F182" s="1172"/>
      <c r="G182" s="1172"/>
    </row>
    <row r="183" spans="2:7" ht="33.75" customHeight="1" thickBot="1" x14ac:dyDescent="0.4">
      <c r="B183" s="2832"/>
      <c r="C183" s="2404" t="s">
        <v>1524</v>
      </c>
      <c r="D183" s="2406">
        <v>4997.5079999999998</v>
      </c>
      <c r="F183" s="1172"/>
      <c r="G183" s="1172"/>
    </row>
    <row r="184" spans="2:7" ht="33.75" customHeight="1" x14ac:dyDescent="0.35">
      <c r="B184" s="2820" t="s">
        <v>1123</v>
      </c>
      <c r="C184" s="2410" t="s">
        <v>1533</v>
      </c>
      <c r="D184" s="2394">
        <v>394.97</v>
      </c>
      <c r="F184" s="1172"/>
      <c r="G184" s="1172"/>
    </row>
    <row r="185" spans="2:7" ht="33.75" customHeight="1" x14ac:dyDescent="0.35">
      <c r="B185" s="2821"/>
      <c r="C185" s="2395" t="s">
        <v>1445</v>
      </c>
      <c r="D185" s="2396">
        <v>829.31</v>
      </c>
      <c r="F185" s="1172"/>
      <c r="G185" s="1172"/>
    </row>
    <row r="186" spans="2:7" ht="33.75" customHeight="1" x14ac:dyDescent="0.35">
      <c r="B186" s="2821"/>
      <c r="C186" s="2395" t="s">
        <v>1524</v>
      </c>
      <c r="D186" s="2396">
        <v>8452.5949999999993</v>
      </c>
      <c r="F186" s="1172"/>
      <c r="G186" s="1172"/>
    </row>
    <row r="187" spans="2:7" ht="33.75" customHeight="1" thickBot="1" x14ac:dyDescent="0.4">
      <c r="B187" s="2821"/>
      <c r="C187" s="2397" t="s">
        <v>1439</v>
      </c>
      <c r="D187" s="2408">
        <v>57.648000000000003</v>
      </c>
      <c r="F187" s="1172"/>
      <c r="G187" s="1172"/>
    </row>
    <row r="188" spans="2:7" ht="33.75" customHeight="1" x14ac:dyDescent="0.35">
      <c r="B188" s="2820" t="s">
        <v>1124</v>
      </c>
      <c r="C188" s="2400" t="s">
        <v>1531</v>
      </c>
      <c r="D188" s="2399">
        <v>394.97</v>
      </c>
      <c r="F188" s="1172"/>
      <c r="G188" s="1172"/>
    </row>
    <row r="189" spans="2:7" ht="33.75" customHeight="1" x14ac:dyDescent="0.35">
      <c r="B189" s="2821"/>
      <c r="C189" s="2395" t="s">
        <v>1445</v>
      </c>
      <c r="D189" s="2396">
        <v>2339.9749999999999</v>
      </c>
      <c r="F189" s="1172"/>
      <c r="G189" s="1172"/>
    </row>
    <row r="190" spans="2:7" ht="33.75" customHeight="1" thickBot="1" x14ac:dyDescent="0.4">
      <c r="B190" s="2821"/>
      <c r="C190" s="2395" t="s">
        <v>1439</v>
      </c>
      <c r="D190" s="2408">
        <v>43.715000000000003</v>
      </c>
      <c r="F190" s="1172"/>
      <c r="G190" s="1172"/>
    </row>
    <row r="191" spans="2:7" ht="33.75" customHeight="1" x14ac:dyDescent="0.35">
      <c r="B191" s="2820" t="s">
        <v>1125</v>
      </c>
      <c r="C191" s="2409" t="s">
        <v>1126</v>
      </c>
      <c r="D191" s="2399">
        <v>133.35</v>
      </c>
      <c r="F191" s="1172"/>
      <c r="G191" s="1172"/>
    </row>
    <row r="192" spans="2:7" ht="33.75" customHeight="1" thickBot="1" x14ac:dyDescent="0.4">
      <c r="B192" s="2822"/>
      <c r="C192" s="2411"/>
      <c r="D192" s="2406"/>
      <c r="F192" s="1172"/>
      <c r="G192" s="1172"/>
    </row>
    <row r="193" spans="2:7" s="2263" customFormat="1" ht="33.75" customHeight="1" thickBot="1" x14ac:dyDescent="0.45">
      <c r="B193" s="2265" t="s">
        <v>1127</v>
      </c>
      <c r="C193" s="2385"/>
      <c r="D193" s="2494">
        <f>SUM(D90:D192)</f>
        <v>110426.764</v>
      </c>
      <c r="F193" s="1174"/>
      <c r="G193" s="1174"/>
    </row>
    <row r="194" spans="2:7" s="2263" customFormat="1" ht="33.75" customHeight="1" thickBot="1" x14ac:dyDescent="0.45">
      <c r="B194" s="2266" t="s">
        <v>4</v>
      </c>
      <c r="C194" s="2386"/>
      <c r="D194" s="2495">
        <f>D89+D193</f>
        <v>139676.90399999998</v>
      </c>
      <c r="F194" s="1174"/>
      <c r="G194" s="1174"/>
    </row>
    <row r="195" spans="2:7" ht="33.75" customHeight="1" x14ac:dyDescent="0.35">
      <c r="B195" s="2267" t="s">
        <v>1128</v>
      </c>
      <c r="C195" s="2387"/>
      <c r="D195" s="2402"/>
    </row>
    <row r="196" spans="2:7" ht="33.75" customHeight="1" x14ac:dyDescent="0.4">
      <c r="B196" s="2268" t="s">
        <v>1129</v>
      </c>
      <c r="C196" s="2388"/>
      <c r="D196" s="2405"/>
    </row>
    <row r="197" spans="2:7" ht="33.75" customHeight="1" x14ac:dyDescent="0.35">
      <c r="B197" s="2469" t="s">
        <v>1130</v>
      </c>
      <c r="C197" s="2393" t="s">
        <v>1534</v>
      </c>
      <c r="D197" s="2394">
        <v>1362</v>
      </c>
    </row>
    <row r="198" spans="2:7" ht="33.75" customHeight="1" x14ac:dyDescent="0.35">
      <c r="B198" s="2469"/>
      <c r="C198" s="2395" t="s">
        <v>1535</v>
      </c>
      <c r="D198" s="2394">
        <v>759</v>
      </c>
    </row>
    <row r="199" spans="2:7" ht="33.75" customHeight="1" x14ac:dyDescent="0.35">
      <c r="B199" s="2469"/>
      <c r="C199" s="2395" t="s">
        <v>1536</v>
      </c>
      <c r="D199" s="2394">
        <v>5908</v>
      </c>
    </row>
    <row r="200" spans="2:7" ht="33.75" customHeight="1" x14ac:dyDescent="0.35">
      <c r="B200" s="2469"/>
      <c r="C200" s="2407" t="s">
        <v>1537</v>
      </c>
      <c r="D200" s="2394">
        <v>1820</v>
      </c>
    </row>
    <row r="201" spans="2:7" ht="33.75" customHeight="1" x14ac:dyDescent="0.35">
      <c r="B201" s="2469"/>
      <c r="C201" s="2407" t="s">
        <v>1538</v>
      </c>
      <c r="D201" s="2394">
        <v>646</v>
      </c>
    </row>
    <row r="202" spans="2:7" ht="33.75" customHeight="1" x14ac:dyDescent="0.35">
      <c r="B202" s="2469"/>
      <c r="C202" s="2407" t="s">
        <v>1539</v>
      </c>
      <c r="D202" s="2394">
        <v>3074</v>
      </c>
    </row>
    <row r="203" spans="2:7" ht="33.75" customHeight="1" x14ac:dyDescent="0.35">
      <c r="B203" s="2469"/>
      <c r="C203" s="2407" t="s">
        <v>1540</v>
      </c>
      <c r="D203" s="2394">
        <v>2792</v>
      </c>
    </row>
    <row r="204" spans="2:7" ht="33.75" customHeight="1" x14ac:dyDescent="0.35">
      <c r="B204" s="2469"/>
      <c r="C204" s="2407" t="s">
        <v>1541</v>
      </c>
      <c r="D204" s="2394">
        <v>2768</v>
      </c>
    </row>
    <row r="205" spans="2:7" ht="33.75" customHeight="1" thickBot="1" x14ac:dyDescent="0.4">
      <c r="B205" s="2469"/>
      <c r="C205" s="2407" t="s">
        <v>1542</v>
      </c>
      <c r="D205" s="2394">
        <v>1296</v>
      </c>
    </row>
    <row r="206" spans="2:7" ht="33.75" customHeight="1" thickBot="1" x14ac:dyDescent="0.4">
      <c r="B206" s="2470" t="s">
        <v>1131</v>
      </c>
      <c r="C206" s="2412"/>
      <c r="D206" s="2498">
        <f>SUM(D197:D205)</f>
        <v>20425</v>
      </c>
      <c r="F206" s="1172"/>
      <c r="G206" s="1172"/>
    </row>
    <row r="207" spans="2:7" ht="33.75" customHeight="1" x14ac:dyDescent="0.35">
      <c r="B207" s="2471" t="s">
        <v>473</v>
      </c>
      <c r="C207" s="2400" t="s">
        <v>1543</v>
      </c>
      <c r="D207" s="2402">
        <v>399.9</v>
      </c>
      <c r="F207" s="1172"/>
      <c r="G207" s="1172"/>
    </row>
    <row r="208" spans="2:7" ht="33.75" customHeight="1" x14ac:dyDescent="0.35">
      <c r="B208" s="2461"/>
      <c r="C208" s="2395" t="s">
        <v>1544</v>
      </c>
      <c r="D208" s="2396">
        <v>1065.53</v>
      </c>
      <c r="F208" s="1172"/>
      <c r="G208" s="1172"/>
    </row>
    <row r="209" spans="2:7" ht="33.75" customHeight="1" x14ac:dyDescent="0.35">
      <c r="B209" s="2461"/>
      <c r="C209" s="2395" t="s">
        <v>1545</v>
      </c>
      <c r="D209" s="2396">
        <v>413.38499999999999</v>
      </c>
      <c r="F209" s="1172"/>
      <c r="G209" s="1172"/>
    </row>
    <row r="210" spans="2:7" ht="33.75" customHeight="1" x14ac:dyDescent="0.35">
      <c r="B210" s="2461"/>
      <c r="C210" s="2395" t="s">
        <v>1546</v>
      </c>
      <c r="D210" s="2396">
        <v>413.38499999999999</v>
      </c>
      <c r="F210" s="1172"/>
      <c r="G210" s="1172"/>
    </row>
    <row r="211" spans="2:7" ht="33.75" customHeight="1" x14ac:dyDescent="0.35">
      <c r="B211" s="2461"/>
      <c r="C211" s="2393" t="s">
        <v>1547</v>
      </c>
      <c r="D211" s="2394">
        <v>261.36599999999999</v>
      </c>
      <c r="F211" s="1172"/>
      <c r="G211" s="1172"/>
    </row>
    <row r="212" spans="2:7" ht="33.75" customHeight="1" x14ac:dyDescent="0.35">
      <c r="B212" s="2461"/>
      <c r="C212" s="2393" t="s">
        <v>1548</v>
      </c>
      <c r="D212" s="2394">
        <v>312.03899999999999</v>
      </c>
      <c r="F212" s="1172"/>
      <c r="G212" s="1172"/>
    </row>
    <row r="213" spans="2:7" ht="33.75" customHeight="1" x14ac:dyDescent="0.35">
      <c r="B213" s="2461"/>
      <c r="C213" s="2393" t="s">
        <v>1549</v>
      </c>
      <c r="D213" s="2394">
        <v>374.98</v>
      </c>
      <c r="F213" s="1172"/>
      <c r="G213" s="1172"/>
    </row>
    <row r="214" spans="2:7" ht="33.75" customHeight="1" x14ac:dyDescent="0.35">
      <c r="B214" s="2461"/>
      <c r="C214" s="2393" t="s">
        <v>1550</v>
      </c>
      <c r="D214" s="2394">
        <v>23.495000000000001</v>
      </c>
      <c r="F214" s="1172"/>
      <c r="G214" s="1172"/>
    </row>
    <row r="215" spans="2:7" ht="33.75" customHeight="1" x14ac:dyDescent="0.35">
      <c r="B215" s="2461"/>
      <c r="C215" s="2393" t="s">
        <v>1551</v>
      </c>
      <c r="D215" s="2394">
        <v>32.9</v>
      </c>
      <c r="F215" s="1172"/>
      <c r="G215" s="1172"/>
    </row>
    <row r="216" spans="2:7" ht="33.75" customHeight="1" x14ac:dyDescent="0.35">
      <c r="B216" s="2461"/>
      <c r="C216" s="2393" t="s">
        <v>1552</v>
      </c>
      <c r="D216" s="2394">
        <v>15.24</v>
      </c>
      <c r="F216" s="1172"/>
      <c r="G216" s="1172"/>
    </row>
    <row r="217" spans="2:7" ht="33.75" customHeight="1" x14ac:dyDescent="0.35">
      <c r="B217" s="2461"/>
      <c r="C217" s="2393" t="s">
        <v>1553</v>
      </c>
      <c r="D217" s="2394">
        <v>21.5</v>
      </c>
      <c r="F217" s="1172"/>
      <c r="G217" s="1172"/>
    </row>
    <row r="218" spans="2:7" ht="33.75" customHeight="1" x14ac:dyDescent="0.35">
      <c r="B218" s="2461"/>
      <c r="C218" s="2393" t="s">
        <v>1554</v>
      </c>
      <c r="D218" s="2394">
        <v>25.9</v>
      </c>
      <c r="F218" s="1172"/>
      <c r="G218" s="1172"/>
    </row>
    <row r="219" spans="2:7" ht="33.75" customHeight="1" x14ac:dyDescent="0.35">
      <c r="B219" s="2461"/>
      <c r="C219" s="2393" t="s">
        <v>1555</v>
      </c>
      <c r="D219" s="2394">
        <v>58.927999999999997</v>
      </c>
      <c r="F219" s="1172"/>
      <c r="G219" s="1172"/>
    </row>
    <row r="220" spans="2:7" ht="33.75" customHeight="1" x14ac:dyDescent="0.35">
      <c r="B220" s="2461"/>
      <c r="C220" s="2393" t="s">
        <v>1556</v>
      </c>
      <c r="D220" s="2394">
        <v>91.5</v>
      </c>
      <c r="F220" s="1172"/>
      <c r="G220" s="1172"/>
    </row>
    <row r="221" spans="2:7" ht="33.75" customHeight="1" x14ac:dyDescent="0.35">
      <c r="B221" s="2461"/>
      <c r="C221" s="2393" t="s">
        <v>1557</v>
      </c>
      <c r="D221" s="2394">
        <v>119.98</v>
      </c>
      <c r="F221" s="1172"/>
      <c r="G221" s="1172"/>
    </row>
    <row r="222" spans="2:7" ht="33.75" customHeight="1" x14ac:dyDescent="0.35">
      <c r="B222" s="2461"/>
      <c r="C222" s="2393" t="s">
        <v>1558</v>
      </c>
      <c r="D222" s="2394">
        <v>55.999000000000002</v>
      </c>
      <c r="F222" s="1172"/>
      <c r="G222" s="1172"/>
    </row>
    <row r="223" spans="2:7" ht="33.75" customHeight="1" x14ac:dyDescent="0.35">
      <c r="B223" s="2461"/>
      <c r="C223" s="2393" t="s">
        <v>1559</v>
      </c>
      <c r="D223" s="2394">
        <v>37</v>
      </c>
      <c r="F223" s="1172"/>
      <c r="G223" s="1172"/>
    </row>
    <row r="224" spans="2:7" ht="33.75" customHeight="1" x14ac:dyDescent="0.35">
      <c r="B224" s="2461"/>
      <c r="C224" s="2393" t="s">
        <v>1560</v>
      </c>
      <c r="D224" s="2394">
        <v>83.778999999999996</v>
      </c>
      <c r="F224" s="1172"/>
      <c r="G224" s="1172"/>
    </row>
    <row r="225" spans="2:7" ht="33.75" customHeight="1" x14ac:dyDescent="0.35">
      <c r="B225" s="2461"/>
      <c r="C225" s="2393" t="s">
        <v>1561</v>
      </c>
      <c r="D225" s="2394">
        <v>14.9</v>
      </c>
      <c r="F225" s="1172"/>
      <c r="G225" s="1172"/>
    </row>
    <row r="226" spans="2:7" ht="33.75" customHeight="1" thickBot="1" x14ac:dyDescent="0.4">
      <c r="B226" s="2461"/>
      <c r="C226" s="2393" t="s">
        <v>1562</v>
      </c>
      <c r="D226" s="2394">
        <v>12.9</v>
      </c>
    </row>
    <row r="227" spans="2:7" ht="33.75" customHeight="1" thickBot="1" x14ac:dyDescent="0.4">
      <c r="B227" s="2472" t="s">
        <v>1131</v>
      </c>
      <c r="C227" s="2412"/>
      <c r="D227" s="2498">
        <f>SUM(D207:D226)</f>
        <v>3834.6059999999993</v>
      </c>
      <c r="F227" s="1172"/>
      <c r="G227" s="1172"/>
    </row>
    <row r="228" spans="2:7" ht="33.75" customHeight="1" x14ac:dyDescent="0.35">
      <c r="B228" s="2473" t="s">
        <v>1132</v>
      </c>
      <c r="C228" s="2413" t="s">
        <v>1563</v>
      </c>
      <c r="D228" s="2399">
        <v>69.215000000000003</v>
      </c>
      <c r="F228" s="1172"/>
      <c r="G228" s="1172"/>
    </row>
    <row r="229" spans="2:7" ht="33.75" customHeight="1" x14ac:dyDescent="0.35">
      <c r="B229" s="2466"/>
      <c r="C229" s="2414" t="s">
        <v>1564</v>
      </c>
      <c r="D229" s="2396">
        <v>1709</v>
      </c>
      <c r="F229" s="1172"/>
      <c r="G229" s="1172"/>
    </row>
    <row r="230" spans="2:7" ht="33.75" customHeight="1" x14ac:dyDescent="0.35">
      <c r="B230" s="2466"/>
      <c r="C230" s="2414" t="s">
        <v>1565</v>
      </c>
      <c r="D230" s="2396">
        <v>166</v>
      </c>
      <c r="F230" s="1172"/>
      <c r="G230" s="1172"/>
    </row>
    <row r="231" spans="2:7" ht="33.75" customHeight="1" x14ac:dyDescent="0.35">
      <c r="B231" s="2466"/>
      <c r="C231" s="2414" t="s">
        <v>1566</v>
      </c>
      <c r="D231" s="2396">
        <v>2621.404</v>
      </c>
      <c r="F231" s="1172"/>
      <c r="G231" s="1172"/>
    </row>
    <row r="232" spans="2:7" ht="33.75" customHeight="1" x14ac:dyDescent="0.35">
      <c r="B232" s="2466"/>
      <c r="C232" s="2414" t="s">
        <v>1567</v>
      </c>
      <c r="D232" s="2396">
        <v>2112.7130000000002</v>
      </c>
      <c r="F232" s="1172"/>
      <c r="G232" s="1172"/>
    </row>
    <row r="233" spans="2:7" ht="33.75" customHeight="1" x14ac:dyDescent="0.35">
      <c r="B233" s="2466"/>
      <c r="C233" s="2414" t="s">
        <v>1568</v>
      </c>
      <c r="D233" s="2396">
        <v>5800</v>
      </c>
      <c r="F233" s="1172"/>
      <c r="G233" s="1172"/>
    </row>
    <row r="234" spans="2:7" ht="33.75" customHeight="1" x14ac:dyDescent="0.35">
      <c r="B234" s="2466"/>
      <c r="C234" s="2414" t="s">
        <v>1569</v>
      </c>
      <c r="D234" s="2396">
        <v>973.70299999999997</v>
      </c>
      <c r="F234" s="1172"/>
      <c r="G234" s="1172"/>
    </row>
    <row r="235" spans="2:7" ht="33.75" customHeight="1" x14ac:dyDescent="0.35">
      <c r="B235" s="2466"/>
      <c r="C235" s="2414" t="s">
        <v>1570</v>
      </c>
      <c r="D235" s="2396">
        <v>37.999000000000002</v>
      </c>
      <c r="F235" s="1172"/>
      <c r="G235" s="1172"/>
    </row>
    <row r="236" spans="2:7" ht="33.75" customHeight="1" x14ac:dyDescent="0.35">
      <c r="B236" s="2466"/>
      <c r="C236" s="2414" t="s">
        <v>1571</v>
      </c>
      <c r="D236" s="2396">
        <v>533.4</v>
      </c>
      <c r="F236" s="1172"/>
      <c r="G236" s="1172"/>
    </row>
    <row r="237" spans="2:7" ht="33.75" customHeight="1" x14ac:dyDescent="0.35">
      <c r="B237" s="2466"/>
      <c r="C237" s="2414" t="s">
        <v>1572</v>
      </c>
      <c r="D237" s="2396">
        <v>228.6</v>
      </c>
      <c r="F237" s="1172"/>
      <c r="G237" s="1172"/>
    </row>
    <row r="238" spans="2:7" ht="33.75" customHeight="1" x14ac:dyDescent="0.35">
      <c r="B238" s="2466"/>
      <c r="C238" s="2414" t="s">
        <v>1573</v>
      </c>
      <c r="D238" s="2396">
        <v>62.7</v>
      </c>
      <c r="F238" s="1172"/>
      <c r="G238" s="1172"/>
    </row>
    <row r="239" spans="2:7" ht="33.75" customHeight="1" x14ac:dyDescent="0.35">
      <c r="B239" s="2466"/>
      <c r="C239" s="2414" t="s">
        <v>1574</v>
      </c>
      <c r="D239" s="2396">
        <v>65.8</v>
      </c>
      <c r="F239" s="1172"/>
      <c r="G239" s="1172"/>
    </row>
    <row r="240" spans="2:7" ht="33.75" customHeight="1" x14ac:dyDescent="0.35">
      <c r="B240" s="2466"/>
      <c r="C240" s="2414" t="s">
        <v>1575</v>
      </c>
      <c r="D240" s="2396">
        <v>40.4</v>
      </c>
      <c r="F240" s="1172"/>
      <c r="G240" s="1172"/>
    </row>
    <row r="241" spans="2:7" ht="33.75" customHeight="1" x14ac:dyDescent="0.35">
      <c r="B241" s="2466"/>
      <c r="C241" s="2414" t="s">
        <v>1576</v>
      </c>
      <c r="D241" s="2396">
        <v>50</v>
      </c>
      <c r="F241" s="1172"/>
      <c r="G241" s="1172"/>
    </row>
    <row r="242" spans="2:7" ht="33.75" customHeight="1" x14ac:dyDescent="0.35">
      <c r="B242" s="2466"/>
      <c r="C242" s="2414" t="s">
        <v>1577</v>
      </c>
      <c r="D242" s="2396">
        <v>29.9</v>
      </c>
      <c r="F242" s="1172"/>
      <c r="G242" s="1172"/>
    </row>
    <row r="243" spans="2:7" ht="33.75" customHeight="1" x14ac:dyDescent="0.35">
      <c r="B243" s="2466"/>
      <c r="C243" s="2414" t="s">
        <v>1578</v>
      </c>
      <c r="D243" s="2396">
        <v>13.999000000000001</v>
      </c>
      <c r="F243" s="1172"/>
      <c r="G243" s="1172"/>
    </row>
    <row r="244" spans="2:7" ht="33.75" customHeight="1" x14ac:dyDescent="0.35">
      <c r="B244" s="2466"/>
      <c r="C244" s="2414" t="s">
        <v>1579</v>
      </c>
      <c r="D244" s="2396">
        <v>68.5</v>
      </c>
      <c r="F244" s="1172"/>
      <c r="G244" s="1172"/>
    </row>
    <row r="245" spans="2:7" ht="33.75" customHeight="1" x14ac:dyDescent="0.35">
      <c r="B245" s="2466"/>
      <c r="C245" s="2414" t="s">
        <v>1580</v>
      </c>
      <c r="D245" s="2396">
        <v>143.1</v>
      </c>
      <c r="F245" s="1172"/>
      <c r="G245" s="1172"/>
    </row>
    <row r="246" spans="2:7" ht="33.75" customHeight="1" x14ac:dyDescent="0.35">
      <c r="B246" s="2466"/>
      <c r="C246" s="2415" t="s">
        <v>1581</v>
      </c>
      <c r="D246" s="2408">
        <v>31.75</v>
      </c>
      <c r="F246" s="1172"/>
      <c r="G246" s="1172"/>
    </row>
    <row r="247" spans="2:7" ht="33.75" customHeight="1" x14ac:dyDescent="0.35">
      <c r="B247" s="2466"/>
      <c r="C247" s="2415" t="s">
        <v>1582</v>
      </c>
      <c r="D247" s="2408">
        <v>883.15800000000002</v>
      </c>
      <c r="F247" s="1172"/>
      <c r="G247" s="1172"/>
    </row>
    <row r="248" spans="2:7" ht="33.75" customHeight="1" x14ac:dyDescent="0.35">
      <c r="B248" s="2466"/>
      <c r="C248" s="2415" t="s">
        <v>1583</v>
      </c>
      <c r="D248" s="2408">
        <v>719.4</v>
      </c>
      <c r="F248" s="1172"/>
      <c r="G248" s="1172"/>
    </row>
    <row r="249" spans="2:7" ht="33.75" customHeight="1" x14ac:dyDescent="0.35">
      <c r="B249" s="2466"/>
      <c r="C249" s="2415" t="s">
        <v>1584</v>
      </c>
      <c r="D249" s="2408">
        <v>85</v>
      </c>
      <c r="F249" s="1172"/>
      <c r="G249" s="1172"/>
    </row>
    <row r="250" spans="2:7" ht="33.75" customHeight="1" x14ac:dyDescent="0.35">
      <c r="B250" s="2466"/>
      <c r="C250" s="2415" t="s">
        <v>1585</v>
      </c>
      <c r="D250" s="2408">
        <v>129</v>
      </c>
      <c r="F250" s="1172"/>
      <c r="G250" s="1172"/>
    </row>
    <row r="251" spans="2:7" ht="33.75" customHeight="1" x14ac:dyDescent="0.35">
      <c r="B251" s="2466"/>
      <c r="C251" s="2415" t="s">
        <v>1586</v>
      </c>
      <c r="D251" s="2408">
        <v>135</v>
      </c>
      <c r="F251" s="1172"/>
      <c r="G251" s="1172"/>
    </row>
    <row r="252" spans="2:7" ht="33.75" customHeight="1" x14ac:dyDescent="0.35">
      <c r="B252" s="2466"/>
      <c r="C252" s="2415" t="s">
        <v>1587</v>
      </c>
      <c r="D252" s="2408">
        <v>174</v>
      </c>
      <c r="F252" s="1172"/>
      <c r="G252" s="1172"/>
    </row>
    <row r="253" spans="2:7" ht="33.75" customHeight="1" x14ac:dyDescent="0.35">
      <c r="B253" s="2466"/>
      <c r="C253" s="2415" t="s">
        <v>1588</v>
      </c>
      <c r="D253" s="2408">
        <v>140</v>
      </c>
      <c r="F253" s="1172"/>
      <c r="G253" s="1172"/>
    </row>
    <row r="254" spans="2:7" ht="33.75" customHeight="1" x14ac:dyDescent="0.35">
      <c r="B254" s="2466"/>
      <c r="C254" s="2415" t="s">
        <v>1589</v>
      </c>
      <c r="D254" s="2408">
        <v>5</v>
      </c>
      <c r="F254" s="1172"/>
      <c r="G254" s="1172"/>
    </row>
    <row r="255" spans="2:7" ht="33.75" customHeight="1" x14ac:dyDescent="0.35">
      <c r="B255" s="2466"/>
      <c r="C255" s="2415" t="s">
        <v>1590</v>
      </c>
      <c r="D255" s="2408">
        <v>31.41</v>
      </c>
      <c r="F255" s="1172"/>
      <c r="G255" s="1172"/>
    </row>
    <row r="256" spans="2:7" ht="33.75" customHeight="1" x14ac:dyDescent="0.35">
      <c r="B256" s="2466"/>
      <c r="C256" s="2415" t="s">
        <v>1591</v>
      </c>
      <c r="D256" s="2408">
        <v>106.47</v>
      </c>
      <c r="F256" s="1172"/>
      <c r="G256" s="1172"/>
    </row>
    <row r="257" spans="2:7" ht="33.75" customHeight="1" x14ac:dyDescent="0.35">
      <c r="B257" s="2466"/>
      <c r="C257" s="2415" t="s">
        <v>1592</v>
      </c>
      <c r="D257" s="2408">
        <v>8.4600000000000009</v>
      </c>
      <c r="F257" s="1172"/>
      <c r="G257" s="1172"/>
    </row>
    <row r="258" spans="2:7" ht="33.75" customHeight="1" x14ac:dyDescent="0.35">
      <c r="B258" s="2466"/>
      <c r="C258" s="2415" t="s">
        <v>1593</v>
      </c>
      <c r="D258" s="2408">
        <v>7.11</v>
      </c>
      <c r="F258" s="1172"/>
      <c r="G258" s="1172"/>
    </row>
    <row r="259" spans="2:7" ht="33.75" customHeight="1" x14ac:dyDescent="0.35">
      <c r="B259" s="2466"/>
      <c r="C259" s="2415" t="s">
        <v>1594</v>
      </c>
      <c r="D259" s="2408">
        <v>5.67</v>
      </c>
      <c r="F259" s="1172"/>
      <c r="G259" s="1172"/>
    </row>
    <row r="260" spans="2:7" ht="33.75" customHeight="1" x14ac:dyDescent="0.35">
      <c r="B260" s="2466"/>
      <c r="C260" s="2415" t="s">
        <v>1595</v>
      </c>
      <c r="D260" s="2408">
        <v>35</v>
      </c>
      <c r="F260" s="1172"/>
      <c r="G260" s="1172"/>
    </row>
    <row r="261" spans="2:7" ht="33.75" customHeight="1" x14ac:dyDescent="0.35">
      <c r="B261" s="2466"/>
      <c r="C261" s="2415" t="s">
        <v>1596</v>
      </c>
      <c r="D261" s="2408">
        <v>18.399999999999999</v>
      </c>
      <c r="F261" s="1172"/>
      <c r="G261" s="1172"/>
    </row>
    <row r="262" spans="2:7" ht="33.75" customHeight="1" x14ac:dyDescent="0.35">
      <c r="B262" s="2466"/>
      <c r="C262" s="2415" t="s">
        <v>1597</v>
      </c>
      <c r="D262" s="2408">
        <v>9.5</v>
      </c>
      <c r="F262" s="1172"/>
      <c r="G262" s="1172"/>
    </row>
    <row r="263" spans="2:7" ht="33.75" customHeight="1" x14ac:dyDescent="0.35">
      <c r="B263" s="2466"/>
      <c r="C263" s="2415" t="s">
        <v>1598</v>
      </c>
      <c r="D263" s="2408">
        <v>7.2</v>
      </c>
      <c r="F263" s="1172"/>
      <c r="G263" s="1172"/>
    </row>
    <row r="264" spans="2:7" ht="33.75" customHeight="1" x14ac:dyDescent="0.35">
      <c r="B264" s="2466"/>
      <c r="C264" s="2415" t="s">
        <v>1599</v>
      </c>
      <c r="D264" s="2408">
        <v>66.132999999999996</v>
      </c>
      <c r="F264" s="1172"/>
      <c r="G264" s="1172"/>
    </row>
    <row r="265" spans="2:7" ht="33.75" customHeight="1" x14ac:dyDescent="0.35">
      <c r="B265" s="2466"/>
      <c r="C265" s="2415" t="s">
        <v>1600</v>
      </c>
      <c r="D265" s="2408">
        <v>75.58</v>
      </c>
      <c r="F265" s="1172"/>
      <c r="G265" s="1172"/>
    </row>
    <row r="266" spans="2:7" ht="33.75" customHeight="1" x14ac:dyDescent="0.35">
      <c r="B266" s="2466"/>
      <c r="C266" s="2415" t="s">
        <v>1601</v>
      </c>
      <c r="D266" s="2408">
        <v>66.543000000000006</v>
      </c>
      <c r="F266" s="1172"/>
      <c r="G266" s="1172"/>
    </row>
    <row r="267" spans="2:7" ht="33.75" customHeight="1" thickBot="1" x14ac:dyDescent="0.4">
      <c r="B267" s="2465"/>
      <c r="C267" s="2415" t="s">
        <v>1927</v>
      </c>
      <c r="D267" s="2408">
        <v>6.99</v>
      </c>
    </row>
    <row r="268" spans="2:7" ht="33.75" customHeight="1" thickBot="1" x14ac:dyDescent="0.4">
      <c r="B268" s="2472" t="s">
        <v>1131</v>
      </c>
      <c r="C268" s="2416"/>
      <c r="D268" s="2498">
        <f>SUM(D228:D267)</f>
        <v>17473.207000000006</v>
      </c>
      <c r="F268" s="1172"/>
      <c r="G268" s="1172"/>
    </row>
    <row r="269" spans="2:7" ht="33.75" customHeight="1" x14ac:dyDescent="0.35">
      <c r="B269" s="2474" t="s">
        <v>1134</v>
      </c>
      <c r="C269" s="2417" t="s">
        <v>1602</v>
      </c>
      <c r="D269" s="2399">
        <v>152.273</v>
      </c>
      <c r="F269" s="1172"/>
      <c r="G269" s="1172"/>
    </row>
    <row r="270" spans="2:7" ht="33.75" customHeight="1" x14ac:dyDescent="0.35">
      <c r="B270" s="2475"/>
      <c r="C270" s="2418" t="s">
        <v>1603</v>
      </c>
      <c r="D270" s="2396">
        <v>57.15</v>
      </c>
      <c r="F270" s="1172"/>
      <c r="G270" s="1172"/>
    </row>
    <row r="271" spans="2:7" ht="33.75" customHeight="1" x14ac:dyDescent="0.35">
      <c r="B271" s="2475"/>
      <c r="C271" s="2418" t="s">
        <v>1604</v>
      </c>
      <c r="D271" s="2396">
        <v>196.72300000000001</v>
      </c>
      <c r="F271" s="1172"/>
      <c r="G271" s="1172"/>
    </row>
    <row r="272" spans="2:7" ht="33.75" customHeight="1" x14ac:dyDescent="0.35">
      <c r="B272" s="2475"/>
      <c r="C272" s="2418" t="s">
        <v>1605</v>
      </c>
      <c r="D272" s="2396">
        <v>114.3</v>
      </c>
      <c r="F272" s="1172"/>
      <c r="G272" s="1172"/>
    </row>
    <row r="273" spans="2:7" ht="33.75" customHeight="1" x14ac:dyDescent="0.35">
      <c r="B273" s="2475"/>
      <c r="C273" s="2418" t="s">
        <v>1606</v>
      </c>
      <c r="D273" s="2396">
        <v>152.273</v>
      </c>
      <c r="F273" s="1172"/>
      <c r="G273" s="1172"/>
    </row>
    <row r="274" spans="2:7" ht="33.75" customHeight="1" x14ac:dyDescent="0.35">
      <c r="B274" s="2475"/>
      <c r="C274" s="2418" t="s">
        <v>1607</v>
      </c>
      <c r="D274" s="2396">
        <v>37.972999999999999</v>
      </c>
      <c r="F274" s="1172"/>
      <c r="G274" s="1172"/>
    </row>
    <row r="275" spans="2:7" ht="33.75" customHeight="1" x14ac:dyDescent="0.35">
      <c r="B275" s="2475"/>
      <c r="C275" s="2418" t="s">
        <v>1608</v>
      </c>
      <c r="D275" s="2396">
        <v>44.32</v>
      </c>
      <c r="F275" s="1172"/>
      <c r="G275" s="1172"/>
    </row>
    <row r="276" spans="2:7" ht="33.75" customHeight="1" x14ac:dyDescent="0.35">
      <c r="B276" s="2475"/>
      <c r="C276" s="2418" t="s">
        <v>1609</v>
      </c>
      <c r="D276" s="2396">
        <v>176.53</v>
      </c>
      <c r="F276" s="1172"/>
      <c r="G276" s="1172"/>
    </row>
    <row r="277" spans="2:7" ht="33.75" customHeight="1" x14ac:dyDescent="0.35">
      <c r="B277" s="2475"/>
      <c r="C277" s="2418" t="s">
        <v>1610</v>
      </c>
      <c r="D277" s="2396">
        <v>172.21199999999999</v>
      </c>
      <c r="F277" s="1172"/>
      <c r="G277" s="1172"/>
    </row>
    <row r="278" spans="2:7" ht="33.75" customHeight="1" x14ac:dyDescent="0.35">
      <c r="B278" s="2475"/>
      <c r="C278" s="2418" t="s">
        <v>1611</v>
      </c>
      <c r="D278" s="2396">
        <v>93.98</v>
      </c>
      <c r="F278" s="1172"/>
      <c r="G278" s="1172"/>
    </row>
    <row r="279" spans="2:7" ht="33.75" customHeight="1" x14ac:dyDescent="0.35">
      <c r="B279" s="2475"/>
      <c r="C279" s="2418" t="s">
        <v>1612</v>
      </c>
      <c r="D279" s="2396">
        <v>189.98</v>
      </c>
      <c r="F279" s="1172"/>
      <c r="G279" s="1172"/>
    </row>
    <row r="280" spans="2:7" ht="33.75" customHeight="1" x14ac:dyDescent="0.35">
      <c r="B280" s="2475"/>
      <c r="C280" s="2418" t="s">
        <v>1613</v>
      </c>
      <c r="D280" s="2396">
        <v>19.989999999999998</v>
      </c>
      <c r="F280" s="1172"/>
      <c r="G280" s="1172"/>
    </row>
    <row r="281" spans="2:7" ht="33.75" customHeight="1" x14ac:dyDescent="0.35">
      <c r="B281" s="2475"/>
      <c r="C281" s="2418" t="s">
        <v>1614</v>
      </c>
      <c r="D281" s="2396">
        <v>14.99</v>
      </c>
      <c r="F281" s="1172"/>
      <c r="G281" s="1172"/>
    </row>
    <row r="282" spans="2:7" ht="33.75" customHeight="1" x14ac:dyDescent="0.35">
      <c r="B282" s="2475"/>
      <c r="C282" s="2418" t="s">
        <v>1615</v>
      </c>
      <c r="D282" s="2396">
        <v>84.1</v>
      </c>
      <c r="F282" s="1172"/>
      <c r="G282" s="1172"/>
    </row>
    <row r="283" spans="2:7" ht="33.75" customHeight="1" x14ac:dyDescent="0.35">
      <c r="B283" s="2475"/>
      <c r="C283" s="2418" t="s">
        <v>1616</v>
      </c>
      <c r="D283" s="2396">
        <v>3553.46</v>
      </c>
      <c r="F283" s="1172"/>
      <c r="G283" s="1172"/>
    </row>
    <row r="284" spans="2:7" ht="33.75" customHeight="1" x14ac:dyDescent="0.35">
      <c r="B284" s="2475"/>
      <c r="C284" s="2418" t="s">
        <v>1617</v>
      </c>
      <c r="D284" s="2396">
        <v>23.901</v>
      </c>
      <c r="F284" s="1172"/>
      <c r="G284" s="1172"/>
    </row>
    <row r="285" spans="2:7" ht="33.75" customHeight="1" x14ac:dyDescent="0.35">
      <c r="B285" s="2475"/>
      <c r="C285" s="2418" t="s">
        <v>1618</v>
      </c>
      <c r="D285" s="2396">
        <v>10.4</v>
      </c>
      <c r="F285" s="1172"/>
      <c r="G285" s="1172"/>
    </row>
    <row r="286" spans="2:7" ht="33.75" customHeight="1" x14ac:dyDescent="0.35">
      <c r="B286" s="2475"/>
      <c r="C286" s="2418" t="s">
        <v>1619</v>
      </c>
      <c r="D286" s="2396">
        <v>161</v>
      </c>
      <c r="F286" s="1172"/>
      <c r="G286" s="1172"/>
    </row>
    <row r="287" spans="2:7" ht="33.75" customHeight="1" x14ac:dyDescent="0.35">
      <c r="B287" s="2475"/>
      <c r="C287" s="2418" t="s">
        <v>1620</v>
      </c>
      <c r="D287" s="2396">
        <v>12.686999999999999</v>
      </c>
      <c r="F287" s="1172"/>
      <c r="G287" s="1172"/>
    </row>
    <row r="288" spans="2:7" ht="33.75" customHeight="1" x14ac:dyDescent="0.35">
      <c r="B288" s="2475"/>
      <c r="C288" s="2418" t="s">
        <v>1621</v>
      </c>
      <c r="D288" s="2396">
        <v>2748.915</v>
      </c>
      <c r="F288" s="1172"/>
      <c r="G288" s="1172"/>
    </row>
    <row r="289" spans="2:7" ht="33.75" customHeight="1" x14ac:dyDescent="0.35">
      <c r="B289" s="2475"/>
      <c r="C289" s="2419" t="s">
        <v>1622</v>
      </c>
      <c r="D289" s="2408">
        <v>5.4</v>
      </c>
      <c r="F289" s="1172"/>
      <c r="G289" s="1172"/>
    </row>
    <row r="290" spans="2:7" ht="33.75" customHeight="1" x14ac:dyDescent="0.35">
      <c r="B290" s="2475"/>
      <c r="C290" s="2419" t="s">
        <v>1176</v>
      </c>
      <c r="D290" s="2408">
        <v>58.99</v>
      </c>
      <c r="F290" s="1172"/>
      <c r="G290" s="1172"/>
    </row>
    <row r="291" spans="2:7" ht="33.75" customHeight="1" x14ac:dyDescent="0.35">
      <c r="B291" s="2475"/>
      <c r="C291" s="2419" t="s">
        <v>1623</v>
      </c>
      <c r="D291" s="2408">
        <v>56.5</v>
      </c>
      <c r="F291" s="1172"/>
      <c r="G291" s="1172"/>
    </row>
    <row r="292" spans="2:7" ht="33.75" customHeight="1" x14ac:dyDescent="0.35">
      <c r="B292" s="2475"/>
      <c r="C292" s="2419" t="s">
        <v>1624</v>
      </c>
      <c r="D292" s="2408">
        <v>88.522000000000006</v>
      </c>
      <c r="F292" s="1172"/>
      <c r="G292" s="1172"/>
    </row>
    <row r="293" spans="2:7" ht="33.75" customHeight="1" x14ac:dyDescent="0.35">
      <c r="B293" s="2475"/>
      <c r="C293" s="2419" t="s">
        <v>1625</v>
      </c>
      <c r="D293" s="2408">
        <v>117.5</v>
      </c>
      <c r="F293" s="1172"/>
      <c r="G293" s="1172"/>
    </row>
    <row r="294" spans="2:7" ht="33.75" customHeight="1" x14ac:dyDescent="0.35">
      <c r="B294" s="2475"/>
      <c r="C294" s="2419" t="s">
        <v>1626</v>
      </c>
      <c r="D294" s="2408">
        <v>81.228999999999999</v>
      </c>
      <c r="F294" s="1172"/>
      <c r="G294" s="1172"/>
    </row>
    <row r="295" spans="2:7" ht="33.75" customHeight="1" x14ac:dyDescent="0.35">
      <c r="B295" s="2475"/>
      <c r="C295" s="2419" t="s">
        <v>1627</v>
      </c>
      <c r="D295" s="2408">
        <v>32.700000000000003</v>
      </c>
      <c r="F295" s="1172"/>
      <c r="G295" s="1172"/>
    </row>
    <row r="296" spans="2:7" ht="33.75" customHeight="1" x14ac:dyDescent="0.35">
      <c r="B296" s="2475"/>
      <c r="C296" s="2419" t="s">
        <v>1628</v>
      </c>
      <c r="D296" s="2408">
        <v>67.97</v>
      </c>
      <c r="F296" s="1172"/>
      <c r="G296" s="1172"/>
    </row>
    <row r="297" spans="2:7" ht="33.75" customHeight="1" x14ac:dyDescent="0.35">
      <c r="B297" s="2475"/>
      <c r="C297" s="2419" t="s">
        <v>1629</v>
      </c>
      <c r="D297" s="2408">
        <v>23.748999999999999</v>
      </c>
      <c r="F297" s="1172"/>
      <c r="G297" s="1172"/>
    </row>
    <row r="298" spans="2:7" ht="33.75" customHeight="1" x14ac:dyDescent="0.35">
      <c r="B298" s="2475"/>
      <c r="C298" s="2419" t="s">
        <v>1630</v>
      </c>
      <c r="D298" s="2408">
        <v>9.9990000000000006</v>
      </c>
      <c r="F298" s="1172"/>
      <c r="G298" s="1172"/>
    </row>
    <row r="299" spans="2:7" ht="33.75" customHeight="1" x14ac:dyDescent="0.35">
      <c r="B299" s="2475"/>
      <c r="C299" s="2419" t="s">
        <v>1631</v>
      </c>
      <c r="D299" s="2408">
        <v>149.84</v>
      </c>
      <c r="F299" s="1172"/>
      <c r="G299" s="1172"/>
    </row>
    <row r="300" spans="2:7" ht="33.75" customHeight="1" x14ac:dyDescent="0.35">
      <c r="B300" s="2475"/>
      <c r="C300" s="2419" t="s">
        <v>1632</v>
      </c>
      <c r="D300" s="2408">
        <v>227.41900000000001</v>
      </c>
      <c r="F300" s="1172"/>
      <c r="G300" s="1172"/>
    </row>
    <row r="301" spans="2:7" ht="33.75" customHeight="1" x14ac:dyDescent="0.35">
      <c r="B301" s="2475"/>
      <c r="C301" s="2419" t="s">
        <v>1633</v>
      </c>
      <c r="D301" s="2408">
        <v>97.97</v>
      </c>
      <c r="F301" s="1172"/>
      <c r="G301" s="1172"/>
    </row>
    <row r="302" spans="2:7" ht="33.75" customHeight="1" x14ac:dyDescent="0.35">
      <c r="B302" s="2475"/>
      <c r="C302" s="2419" t="s">
        <v>1634</v>
      </c>
      <c r="D302" s="2408">
        <v>29.99</v>
      </c>
      <c r="F302" s="1172"/>
      <c r="G302" s="1172"/>
    </row>
    <row r="303" spans="2:7" ht="33.75" customHeight="1" x14ac:dyDescent="0.35">
      <c r="B303" s="2475"/>
      <c r="C303" s="2419" t="s">
        <v>1635</v>
      </c>
      <c r="D303" s="2408">
        <v>25.99</v>
      </c>
      <c r="F303" s="1172"/>
      <c r="G303" s="1172"/>
    </row>
    <row r="304" spans="2:7" ht="33.75" customHeight="1" x14ac:dyDescent="0.35">
      <c r="B304" s="2475"/>
      <c r="C304" s="2419" t="s">
        <v>1636</v>
      </c>
      <c r="D304" s="2408">
        <v>77.8</v>
      </c>
      <c r="F304" s="1172"/>
      <c r="G304" s="1172"/>
    </row>
    <row r="305" spans="2:7" ht="33.75" customHeight="1" x14ac:dyDescent="0.35">
      <c r="B305" s="2475"/>
      <c r="C305" s="2419" t="s">
        <v>1637</v>
      </c>
      <c r="D305" s="2408">
        <v>17.998000000000001</v>
      </c>
      <c r="F305" s="1172"/>
      <c r="G305" s="1172"/>
    </row>
    <row r="306" spans="2:7" ht="33.75" customHeight="1" x14ac:dyDescent="0.35">
      <c r="B306" s="2475"/>
      <c r="C306" s="2419" t="s">
        <v>1638</v>
      </c>
      <c r="D306" s="2408">
        <v>16.140999999999998</v>
      </c>
      <c r="F306" s="1172"/>
      <c r="G306" s="1172"/>
    </row>
    <row r="307" spans="2:7" ht="33.75" customHeight="1" x14ac:dyDescent="0.35">
      <c r="B307" s="2475"/>
      <c r="C307" s="2419" t="s">
        <v>1639</v>
      </c>
      <c r="D307" s="2408">
        <v>38.948999999999998</v>
      </c>
      <c r="F307" s="1172"/>
      <c r="G307" s="1172"/>
    </row>
    <row r="308" spans="2:7" ht="33.75" customHeight="1" x14ac:dyDescent="0.35">
      <c r="B308" s="2475"/>
      <c r="C308" s="2419" t="s">
        <v>1640</v>
      </c>
      <c r="D308" s="2408">
        <v>100</v>
      </c>
      <c r="F308" s="1172"/>
      <c r="G308" s="1172"/>
    </row>
    <row r="309" spans="2:7" ht="33.75" customHeight="1" x14ac:dyDescent="0.35">
      <c r="B309" s="2475"/>
      <c r="C309" s="2419" t="s">
        <v>1641</v>
      </c>
      <c r="D309" s="2408">
        <v>1012.992</v>
      </c>
      <c r="F309" s="1172"/>
      <c r="G309" s="1172"/>
    </row>
    <row r="310" spans="2:7" ht="33.75" customHeight="1" x14ac:dyDescent="0.35">
      <c r="B310" s="2475"/>
      <c r="C310" s="2418" t="s">
        <v>1642</v>
      </c>
      <c r="D310" s="2396">
        <v>180</v>
      </c>
      <c r="F310" s="1172"/>
      <c r="G310" s="1172"/>
    </row>
    <row r="311" spans="2:7" ht="33.75" customHeight="1" x14ac:dyDescent="0.35">
      <c r="B311" s="2475"/>
      <c r="C311" s="2418" t="s">
        <v>1643</v>
      </c>
      <c r="D311" s="2396">
        <v>238.76</v>
      </c>
      <c r="F311" s="1172"/>
      <c r="G311" s="1172"/>
    </row>
    <row r="312" spans="2:7" ht="33.75" customHeight="1" thickBot="1" x14ac:dyDescent="0.4">
      <c r="B312" s="2475"/>
      <c r="C312" s="2420" t="s">
        <v>1644</v>
      </c>
      <c r="D312" s="2405">
        <v>3485</v>
      </c>
      <c r="F312" s="1172"/>
      <c r="G312" s="1172"/>
    </row>
    <row r="313" spans="2:7" ht="33.75" customHeight="1" thickBot="1" x14ac:dyDescent="0.4">
      <c r="B313" s="2476" t="s">
        <v>1131</v>
      </c>
      <c r="C313" s="2412"/>
      <c r="D313" s="2498">
        <f>SUM(D269:D312)</f>
        <v>14258.564999999997</v>
      </c>
      <c r="F313" s="1172"/>
      <c r="G313" s="1172"/>
    </row>
    <row r="314" spans="2:7" ht="33.75" customHeight="1" thickBot="1" x14ac:dyDescent="0.4">
      <c r="B314" s="2471" t="s">
        <v>1135</v>
      </c>
      <c r="C314" s="2401"/>
      <c r="D314" s="2402"/>
      <c r="F314" s="1172"/>
      <c r="G314" s="1172"/>
    </row>
    <row r="315" spans="2:7" ht="33.75" customHeight="1" x14ac:dyDescent="0.35">
      <c r="B315" s="2477" t="s">
        <v>1136</v>
      </c>
      <c r="C315" s="2421" t="s">
        <v>1645</v>
      </c>
      <c r="D315" s="2399">
        <v>379.99</v>
      </c>
      <c r="F315" s="1172"/>
      <c r="G315" s="1172"/>
    </row>
    <row r="316" spans="2:7" ht="33.75" customHeight="1" x14ac:dyDescent="0.35">
      <c r="B316" s="2461"/>
      <c r="C316" s="2422" t="s">
        <v>1646</v>
      </c>
      <c r="D316" s="2396">
        <v>700.78599999999994</v>
      </c>
      <c r="F316" s="1172"/>
      <c r="G316" s="1172"/>
    </row>
    <row r="317" spans="2:7" ht="33.75" customHeight="1" x14ac:dyDescent="0.35">
      <c r="B317" s="2461"/>
      <c r="C317" s="2423" t="s">
        <v>1647</v>
      </c>
      <c r="D317" s="2396">
        <v>11111.23</v>
      </c>
      <c r="F317" s="1172"/>
      <c r="G317" s="1172"/>
    </row>
    <row r="318" spans="2:7" ht="33.75" customHeight="1" x14ac:dyDescent="0.35">
      <c r="B318" s="2461"/>
      <c r="C318" s="2423" t="s">
        <v>1648</v>
      </c>
      <c r="D318" s="2396">
        <v>4856.9930000000004</v>
      </c>
      <c r="F318" s="1172"/>
      <c r="G318" s="1172"/>
    </row>
    <row r="319" spans="2:7" ht="33.75" customHeight="1" x14ac:dyDescent="0.35">
      <c r="B319" s="2461"/>
      <c r="C319" s="2423" t="s">
        <v>1649</v>
      </c>
      <c r="D319" s="2396">
        <v>369.99</v>
      </c>
      <c r="F319" s="1172"/>
      <c r="G319" s="1172"/>
    </row>
    <row r="320" spans="2:7" ht="33.75" customHeight="1" x14ac:dyDescent="0.35">
      <c r="B320" s="2461"/>
      <c r="C320" s="2423" t="s">
        <v>1650</v>
      </c>
      <c r="D320" s="2396">
        <v>2030.73</v>
      </c>
      <c r="F320" s="1172"/>
      <c r="G320" s="1172"/>
    </row>
    <row r="321" spans="2:7" ht="33.75" customHeight="1" x14ac:dyDescent="0.35">
      <c r="B321" s="2461"/>
      <c r="C321" s="2423" t="s">
        <v>1651</v>
      </c>
      <c r="D321" s="2396">
        <v>429.85</v>
      </c>
      <c r="F321" s="1172"/>
      <c r="G321" s="1172"/>
    </row>
    <row r="322" spans="2:7" ht="33.75" customHeight="1" x14ac:dyDescent="0.35">
      <c r="B322" s="2461"/>
      <c r="C322" s="2423" t="s">
        <v>1652</v>
      </c>
      <c r="D322" s="2396">
        <v>650</v>
      </c>
      <c r="F322" s="1172"/>
      <c r="G322" s="1172"/>
    </row>
    <row r="323" spans="2:7" ht="33.75" customHeight="1" x14ac:dyDescent="0.35">
      <c r="B323" s="2461"/>
      <c r="C323" s="2423" t="s">
        <v>1653</v>
      </c>
      <c r="D323" s="2396">
        <v>340.221</v>
      </c>
      <c r="F323" s="1172"/>
      <c r="G323" s="1172"/>
    </row>
    <row r="324" spans="2:7" ht="33.75" customHeight="1" x14ac:dyDescent="0.35">
      <c r="B324" s="2461"/>
      <c r="C324" s="2423" t="s">
        <v>1570</v>
      </c>
      <c r="D324" s="2396">
        <v>29.056999999999999</v>
      </c>
      <c r="F324" s="1172"/>
      <c r="G324" s="1172"/>
    </row>
    <row r="325" spans="2:7" ht="33.75" customHeight="1" x14ac:dyDescent="0.35">
      <c r="B325" s="2461"/>
      <c r="C325" s="2423" t="s">
        <v>1654</v>
      </c>
      <c r="D325" s="2396">
        <v>2185.4160000000002</v>
      </c>
      <c r="F325" s="1172"/>
      <c r="G325" s="1172"/>
    </row>
    <row r="326" spans="2:7" ht="33.75" customHeight="1" x14ac:dyDescent="0.35">
      <c r="B326" s="2461"/>
      <c r="C326" s="2423" t="s">
        <v>1655</v>
      </c>
      <c r="D326" s="2396">
        <v>396.62099999999998</v>
      </c>
      <c r="F326" s="1172"/>
      <c r="G326" s="1172"/>
    </row>
    <row r="327" spans="2:7" ht="33.75" customHeight="1" x14ac:dyDescent="0.35">
      <c r="B327" s="2461"/>
      <c r="C327" s="2423" t="s">
        <v>1656</v>
      </c>
      <c r="D327" s="2396">
        <v>194.297</v>
      </c>
      <c r="F327" s="1172"/>
      <c r="G327" s="1172"/>
    </row>
    <row r="328" spans="2:7" ht="33.75" customHeight="1" x14ac:dyDescent="0.35">
      <c r="B328" s="2461"/>
      <c r="C328" s="2423" t="s">
        <v>1657</v>
      </c>
      <c r="D328" s="2396">
        <v>24.949000000000002</v>
      </c>
      <c r="F328" s="1172"/>
      <c r="G328" s="1172"/>
    </row>
    <row r="329" spans="2:7" ht="33.75" customHeight="1" x14ac:dyDescent="0.35">
      <c r="B329" s="2461"/>
      <c r="C329" s="2423" t="s">
        <v>1658</v>
      </c>
      <c r="D329" s="2396">
        <v>68.325999999999993</v>
      </c>
      <c r="F329" s="1172"/>
      <c r="G329" s="1172"/>
    </row>
    <row r="330" spans="2:7" ht="33.75" customHeight="1" x14ac:dyDescent="0.35">
      <c r="B330" s="2461"/>
      <c r="C330" s="2423" t="s">
        <v>1659</v>
      </c>
      <c r="D330" s="2396">
        <v>63.5</v>
      </c>
      <c r="F330" s="1172"/>
      <c r="G330" s="1172"/>
    </row>
    <row r="331" spans="2:7" ht="33.75" customHeight="1" x14ac:dyDescent="0.35">
      <c r="B331" s="2461"/>
      <c r="C331" s="2423" t="s">
        <v>1660</v>
      </c>
      <c r="D331" s="2396">
        <v>31.99</v>
      </c>
      <c r="F331" s="1172"/>
      <c r="G331" s="1172"/>
    </row>
    <row r="332" spans="2:7" ht="33.75" customHeight="1" x14ac:dyDescent="0.35">
      <c r="B332" s="2461"/>
      <c r="C332" s="2423" t="s">
        <v>1661</v>
      </c>
      <c r="D332" s="2396">
        <v>57.9</v>
      </c>
      <c r="F332" s="1172"/>
      <c r="G332" s="1172"/>
    </row>
    <row r="333" spans="2:7" ht="33.75" customHeight="1" x14ac:dyDescent="0.35">
      <c r="B333" s="2461"/>
      <c r="C333" s="2423" t="s">
        <v>1662</v>
      </c>
      <c r="D333" s="2396">
        <v>28.219000000000001</v>
      </c>
      <c r="F333" s="1172"/>
      <c r="G333" s="1172"/>
    </row>
    <row r="334" spans="2:7" ht="33.75" customHeight="1" x14ac:dyDescent="0.35">
      <c r="B334" s="2461"/>
      <c r="C334" s="2423" t="s">
        <v>1663</v>
      </c>
      <c r="D334" s="2396">
        <v>15.991</v>
      </c>
      <c r="F334" s="1172"/>
      <c r="G334" s="1172"/>
    </row>
    <row r="335" spans="2:7" ht="33.75" customHeight="1" x14ac:dyDescent="0.35">
      <c r="B335" s="2461"/>
      <c r="C335" s="2423" t="s">
        <v>1664</v>
      </c>
      <c r="D335" s="2396">
        <v>73.149000000000001</v>
      </c>
      <c r="F335" s="1172"/>
      <c r="G335" s="1172"/>
    </row>
    <row r="336" spans="2:7" ht="33.75" customHeight="1" x14ac:dyDescent="0.35">
      <c r="B336" s="2461"/>
      <c r="C336" s="2423" t="s">
        <v>1665</v>
      </c>
      <c r="D336" s="2396">
        <v>37.99</v>
      </c>
      <c r="F336" s="1172"/>
      <c r="G336" s="1172"/>
    </row>
    <row r="337" spans="2:7" ht="33.75" customHeight="1" x14ac:dyDescent="0.35">
      <c r="B337" s="2461"/>
      <c r="C337" s="2423" t="s">
        <v>1666</v>
      </c>
      <c r="D337" s="2396">
        <v>147.15</v>
      </c>
      <c r="F337" s="1172"/>
      <c r="G337" s="1172"/>
    </row>
    <row r="338" spans="2:7" ht="33.75" customHeight="1" x14ac:dyDescent="0.35">
      <c r="B338" s="2461"/>
      <c r="C338" s="2423" t="s">
        <v>1667</v>
      </c>
      <c r="D338" s="2396">
        <v>11.81</v>
      </c>
      <c r="F338" s="1172"/>
      <c r="G338" s="1172"/>
    </row>
    <row r="339" spans="2:7" ht="33.75" customHeight="1" x14ac:dyDescent="0.35">
      <c r="B339" s="2461"/>
      <c r="C339" s="2424" t="s">
        <v>1668</v>
      </c>
      <c r="D339" s="2408">
        <v>12.065</v>
      </c>
      <c r="F339" s="1172"/>
      <c r="G339" s="1172"/>
    </row>
    <row r="340" spans="2:7" ht="33.75" customHeight="1" x14ac:dyDescent="0.35">
      <c r="B340" s="2461"/>
      <c r="C340" s="2424" t="s">
        <v>1669</v>
      </c>
      <c r="D340" s="2408">
        <v>5.2069999999999999</v>
      </c>
      <c r="F340" s="1172"/>
      <c r="G340" s="1172"/>
    </row>
    <row r="341" spans="2:7" ht="33.75" customHeight="1" x14ac:dyDescent="0.35">
      <c r="B341" s="2461"/>
      <c r="C341" s="2424" t="s">
        <v>1670</v>
      </c>
      <c r="D341" s="2408">
        <v>42.671999999999997</v>
      </c>
      <c r="F341" s="1172"/>
      <c r="G341" s="1172"/>
    </row>
    <row r="342" spans="2:7" ht="33.75" customHeight="1" x14ac:dyDescent="0.35">
      <c r="B342" s="2461"/>
      <c r="C342" s="2424" t="s">
        <v>1671</v>
      </c>
      <c r="D342" s="2408">
        <v>22.542999999999999</v>
      </c>
      <c r="F342" s="1172"/>
      <c r="G342" s="1172"/>
    </row>
    <row r="343" spans="2:7" ht="33.75" customHeight="1" x14ac:dyDescent="0.35">
      <c r="B343" s="2461"/>
      <c r="C343" s="2424" t="s">
        <v>1672</v>
      </c>
      <c r="D343" s="2408">
        <v>136.94999999999999</v>
      </c>
      <c r="F343" s="1172"/>
      <c r="G343" s="1172"/>
    </row>
    <row r="344" spans="2:7" ht="33.75" customHeight="1" x14ac:dyDescent="0.35">
      <c r="B344" s="2461"/>
      <c r="C344" s="2424" t="s">
        <v>1673</v>
      </c>
      <c r="D344" s="2408">
        <v>26.969000000000001</v>
      </c>
      <c r="F344" s="1172"/>
      <c r="G344" s="1172"/>
    </row>
    <row r="345" spans="2:7" ht="33.75" customHeight="1" x14ac:dyDescent="0.35">
      <c r="B345" s="2461"/>
      <c r="C345" s="2424" t="s">
        <v>1674</v>
      </c>
      <c r="D345" s="2408">
        <v>61.89</v>
      </c>
      <c r="F345" s="1172"/>
      <c r="G345" s="1172"/>
    </row>
    <row r="346" spans="2:7" ht="33.75" customHeight="1" x14ac:dyDescent="0.35">
      <c r="B346" s="2461"/>
      <c r="C346" s="2424" t="s">
        <v>1675</v>
      </c>
      <c r="D346" s="2408">
        <v>74.088999999999999</v>
      </c>
      <c r="F346" s="1172"/>
      <c r="G346" s="1172"/>
    </row>
    <row r="347" spans="2:7" ht="33.75" customHeight="1" x14ac:dyDescent="0.35">
      <c r="B347" s="2461"/>
      <c r="C347" s="2424" t="s">
        <v>1676</v>
      </c>
      <c r="D347" s="2408">
        <v>30</v>
      </c>
      <c r="F347" s="1172"/>
      <c r="G347" s="1172"/>
    </row>
    <row r="348" spans="2:7" ht="33.75" customHeight="1" x14ac:dyDescent="0.35">
      <c r="B348" s="2461"/>
      <c r="C348" s="2424" t="s">
        <v>1677</v>
      </c>
      <c r="D348" s="2408">
        <v>12.99</v>
      </c>
      <c r="F348" s="1172"/>
      <c r="G348" s="1172"/>
    </row>
    <row r="349" spans="2:7" ht="33.75" customHeight="1" x14ac:dyDescent="0.35">
      <c r="B349" s="2461"/>
      <c r="C349" s="2424" t="s">
        <v>1678</v>
      </c>
      <c r="D349" s="2408">
        <v>144.99799999999999</v>
      </c>
      <c r="F349" s="1172"/>
      <c r="G349" s="1172"/>
    </row>
    <row r="350" spans="2:7" ht="33.75" customHeight="1" x14ac:dyDescent="0.35">
      <c r="B350" s="2461"/>
      <c r="C350" s="2424" t="s">
        <v>1679</v>
      </c>
      <c r="D350" s="2408">
        <v>39.99</v>
      </c>
      <c r="F350" s="1172"/>
      <c r="G350" s="1172"/>
    </row>
    <row r="351" spans="2:7" ht="33.75" customHeight="1" x14ac:dyDescent="0.35">
      <c r="B351" s="2461"/>
      <c r="C351" s="2424" t="s">
        <v>1680</v>
      </c>
      <c r="D351" s="2408">
        <v>114.99</v>
      </c>
      <c r="F351" s="1172"/>
      <c r="G351" s="1172"/>
    </row>
    <row r="352" spans="2:7" ht="33.75" customHeight="1" x14ac:dyDescent="0.35">
      <c r="B352" s="2461"/>
      <c r="C352" s="2424" t="s">
        <v>1681</v>
      </c>
      <c r="D352" s="2408">
        <v>8.9700000000000006</v>
      </c>
      <c r="F352" s="1172"/>
      <c r="G352" s="1172"/>
    </row>
    <row r="353" spans="2:7" ht="33.75" customHeight="1" x14ac:dyDescent="0.35">
      <c r="B353" s="2461"/>
      <c r="C353" s="2424" t="s">
        <v>1682</v>
      </c>
      <c r="D353" s="2408">
        <v>49.38</v>
      </c>
      <c r="F353" s="1172"/>
      <c r="G353" s="1172"/>
    </row>
    <row r="354" spans="2:7" ht="33.75" customHeight="1" x14ac:dyDescent="0.35">
      <c r="B354" s="2461"/>
      <c r="C354" s="2424" t="s">
        <v>1683</v>
      </c>
      <c r="D354" s="2408">
        <v>7.423</v>
      </c>
      <c r="F354" s="1172"/>
      <c r="G354" s="1172"/>
    </row>
    <row r="355" spans="2:7" ht="33.75" customHeight="1" x14ac:dyDescent="0.35">
      <c r="B355" s="2461"/>
      <c r="C355" s="2424" t="s">
        <v>1684</v>
      </c>
      <c r="D355" s="2408">
        <v>2.5539999999999998</v>
      </c>
      <c r="F355" s="1172"/>
      <c r="G355" s="1172"/>
    </row>
    <row r="356" spans="2:7" ht="33.75" customHeight="1" x14ac:dyDescent="0.35">
      <c r="B356" s="2461"/>
      <c r="C356" s="2424" t="s">
        <v>1685</v>
      </c>
      <c r="D356" s="2408">
        <v>1.7629999999999999</v>
      </c>
      <c r="F356" s="1172"/>
      <c r="G356" s="1172"/>
    </row>
    <row r="357" spans="2:7" ht="33.75" customHeight="1" x14ac:dyDescent="0.35">
      <c r="B357" s="2461"/>
      <c r="C357" s="2424" t="s">
        <v>1686</v>
      </c>
      <c r="D357" s="2408">
        <v>44.99</v>
      </c>
      <c r="F357" s="1172"/>
      <c r="G357" s="1172"/>
    </row>
    <row r="358" spans="2:7" ht="33.75" customHeight="1" thickBot="1" x14ac:dyDescent="0.4">
      <c r="B358" s="2461"/>
      <c r="C358" s="2424" t="s">
        <v>1687</v>
      </c>
      <c r="D358" s="2408">
        <v>11.997999999999999</v>
      </c>
      <c r="F358" s="1172"/>
      <c r="G358" s="1172"/>
    </row>
    <row r="359" spans="2:7" ht="33.75" customHeight="1" x14ac:dyDescent="0.35">
      <c r="B359" s="2478" t="s">
        <v>1137</v>
      </c>
      <c r="C359" s="2421" t="s">
        <v>1688</v>
      </c>
      <c r="D359" s="2399">
        <v>300</v>
      </c>
      <c r="F359" s="1172"/>
      <c r="G359" s="1172"/>
    </row>
    <row r="360" spans="2:7" ht="33.75" customHeight="1" x14ac:dyDescent="0.35">
      <c r="B360" s="2461"/>
      <c r="C360" s="2422" t="s">
        <v>1689</v>
      </c>
      <c r="D360" s="2396">
        <v>2000</v>
      </c>
      <c r="F360" s="1172"/>
      <c r="G360" s="1172"/>
    </row>
    <row r="361" spans="2:7" ht="33.75" customHeight="1" x14ac:dyDescent="0.35">
      <c r="B361" s="2461"/>
      <c r="C361" s="2423" t="s">
        <v>1690</v>
      </c>
      <c r="D361" s="2396">
        <v>300</v>
      </c>
      <c r="F361" s="1172"/>
      <c r="G361" s="1172"/>
    </row>
    <row r="362" spans="2:7" ht="33.75" customHeight="1" x14ac:dyDescent="0.35">
      <c r="B362" s="2461"/>
      <c r="C362" s="2423" t="s">
        <v>1691</v>
      </c>
      <c r="D362" s="2396">
        <v>762</v>
      </c>
      <c r="F362" s="1172"/>
      <c r="G362" s="1172"/>
    </row>
    <row r="363" spans="2:7" ht="33.75" customHeight="1" x14ac:dyDescent="0.35">
      <c r="B363" s="2461"/>
      <c r="C363" s="2423" t="s">
        <v>1692</v>
      </c>
      <c r="D363" s="2396">
        <v>1000</v>
      </c>
      <c r="F363" s="1172"/>
      <c r="G363" s="1172"/>
    </row>
    <row r="364" spans="2:7" ht="33.75" customHeight="1" x14ac:dyDescent="0.35">
      <c r="B364" s="2461"/>
      <c r="C364" s="2423" t="s">
        <v>1693</v>
      </c>
      <c r="D364" s="2396">
        <v>122.19</v>
      </c>
      <c r="F364" s="1172"/>
      <c r="G364" s="1172"/>
    </row>
    <row r="365" spans="2:7" ht="33.75" customHeight="1" x14ac:dyDescent="0.35">
      <c r="B365" s="2461"/>
      <c r="C365" s="2423" t="s">
        <v>1694</v>
      </c>
      <c r="D365" s="2396">
        <v>268.90899999999999</v>
      </c>
      <c r="F365" s="1172"/>
      <c r="G365" s="1172"/>
    </row>
    <row r="366" spans="2:7" ht="33.75" customHeight="1" x14ac:dyDescent="0.35">
      <c r="B366" s="2461"/>
      <c r="C366" s="2423" t="s">
        <v>1695</v>
      </c>
      <c r="D366" s="2396">
        <v>28</v>
      </c>
      <c r="F366" s="1172"/>
      <c r="G366" s="1172"/>
    </row>
    <row r="367" spans="2:7" ht="33.75" customHeight="1" x14ac:dyDescent="0.35">
      <c r="B367" s="2461"/>
      <c r="C367" s="2423" t="s">
        <v>1696</v>
      </c>
      <c r="D367" s="2396">
        <v>43.628999999999998</v>
      </c>
      <c r="F367" s="1172"/>
      <c r="G367" s="1172"/>
    </row>
    <row r="368" spans="2:7" ht="33.75" customHeight="1" x14ac:dyDescent="0.35">
      <c r="B368" s="2461"/>
      <c r="C368" s="2423" t="s">
        <v>1697</v>
      </c>
      <c r="D368" s="2396">
        <v>23.95</v>
      </c>
      <c r="F368" s="1172"/>
      <c r="G368" s="1172"/>
    </row>
    <row r="369" spans="2:7" ht="33.75" customHeight="1" x14ac:dyDescent="0.35">
      <c r="B369" s="2461"/>
      <c r="C369" s="2423" t="s">
        <v>1698</v>
      </c>
      <c r="D369" s="2396">
        <v>9</v>
      </c>
      <c r="F369" s="1172"/>
      <c r="G369" s="1172"/>
    </row>
    <row r="370" spans="2:7" ht="33.75" customHeight="1" x14ac:dyDescent="0.35">
      <c r="B370" s="2461"/>
      <c r="C370" s="2423" t="s">
        <v>1699</v>
      </c>
      <c r="D370" s="2396">
        <v>23.99</v>
      </c>
      <c r="F370" s="1172"/>
      <c r="G370" s="1172"/>
    </row>
    <row r="371" spans="2:7" ht="33.75" customHeight="1" x14ac:dyDescent="0.35">
      <c r="B371" s="2461"/>
      <c r="C371" s="2423" t="s">
        <v>1700</v>
      </c>
      <c r="D371" s="2396">
        <v>5.5</v>
      </c>
      <c r="F371" s="1172"/>
      <c r="G371" s="1172"/>
    </row>
    <row r="372" spans="2:7" ht="33.75" customHeight="1" x14ac:dyDescent="0.35">
      <c r="B372" s="2461"/>
      <c r="C372" s="2423" t="s">
        <v>1701</v>
      </c>
      <c r="D372" s="2396">
        <v>7.99</v>
      </c>
      <c r="F372" s="1172"/>
      <c r="G372" s="1172"/>
    </row>
    <row r="373" spans="2:7" ht="33.75" customHeight="1" x14ac:dyDescent="0.35">
      <c r="B373" s="2461"/>
      <c r="C373" s="2423" t="s">
        <v>1702</v>
      </c>
      <c r="D373" s="2396">
        <v>15</v>
      </c>
      <c r="F373" s="1172"/>
      <c r="G373" s="1172"/>
    </row>
    <row r="374" spans="2:7" ht="33.75" customHeight="1" x14ac:dyDescent="0.35">
      <c r="B374" s="2461"/>
      <c r="C374" s="2423" t="s">
        <v>1703</v>
      </c>
      <c r="D374" s="2396">
        <v>9.5</v>
      </c>
      <c r="F374" s="1172"/>
      <c r="G374" s="1172"/>
    </row>
    <row r="375" spans="2:7" ht="33.75" customHeight="1" x14ac:dyDescent="0.35">
      <c r="B375" s="2461"/>
      <c r="C375" s="2423" t="s">
        <v>1704</v>
      </c>
      <c r="D375" s="2396">
        <v>7.3029999999999999</v>
      </c>
      <c r="F375" s="1172"/>
      <c r="G375" s="1172"/>
    </row>
    <row r="376" spans="2:7" ht="33.75" customHeight="1" x14ac:dyDescent="0.35">
      <c r="B376" s="2461"/>
      <c r="C376" s="2423" t="s">
        <v>1705</v>
      </c>
      <c r="D376" s="2396">
        <v>29.99</v>
      </c>
      <c r="F376" s="1172"/>
      <c r="G376" s="1172"/>
    </row>
    <row r="377" spans="2:7" ht="33.75" customHeight="1" x14ac:dyDescent="0.35">
      <c r="B377" s="2461"/>
      <c r="C377" s="2424" t="s">
        <v>1706</v>
      </c>
      <c r="D377" s="2408">
        <v>4</v>
      </c>
      <c r="F377" s="1172"/>
      <c r="G377" s="1172"/>
    </row>
    <row r="378" spans="2:7" ht="33.75" customHeight="1" thickBot="1" x14ac:dyDescent="0.4">
      <c r="B378" s="2461"/>
      <c r="C378" s="2425" t="s">
        <v>1707</v>
      </c>
      <c r="D378" s="2406">
        <v>38.869999999999997</v>
      </c>
      <c r="F378" s="1172"/>
      <c r="G378" s="1172"/>
    </row>
    <row r="379" spans="2:7" ht="33.75" customHeight="1" x14ac:dyDescent="0.35">
      <c r="B379" s="2479" t="s">
        <v>1139</v>
      </c>
      <c r="C379" s="2421" t="s">
        <v>1708</v>
      </c>
      <c r="D379" s="2399">
        <v>18705.014999999999</v>
      </c>
      <c r="F379" s="1172"/>
      <c r="G379" s="1172"/>
    </row>
    <row r="380" spans="2:7" ht="33.75" customHeight="1" x14ac:dyDescent="0.35">
      <c r="B380" s="2480"/>
      <c r="C380" s="2423" t="s">
        <v>1709</v>
      </c>
      <c r="D380" s="2396">
        <v>774.33699999999999</v>
      </c>
      <c r="F380" s="1172"/>
      <c r="G380" s="1172"/>
    </row>
    <row r="381" spans="2:7" ht="33.75" customHeight="1" x14ac:dyDescent="0.35">
      <c r="B381" s="2480"/>
      <c r="C381" s="2423" t="s">
        <v>1710</v>
      </c>
      <c r="D381" s="2408">
        <v>385.44499999999999</v>
      </c>
      <c r="F381" s="1172"/>
      <c r="G381" s="1172"/>
    </row>
    <row r="382" spans="2:7" ht="33.75" customHeight="1" x14ac:dyDescent="0.35">
      <c r="B382" s="2480"/>
      <c r="C382" s="2423" t="s">
        <v>1711</v>
      </c>
      <c r="D382" s="2408">
        <v>81.024000000000001</v>
      </c>
      <c r="F382" s="1172"/>
      <c r="G382" s="1172"/>
    </row>
    <row r="383" spans="2:7" ht="33.75" customHeight="1" x14ac:dyDescent="0.35">
      <c r="B383" s="2480"/>
      <c r="C383" s="2423" t="s">
        <v>1712</v>
      </c>
      <c r="D383" s="2408">
        <v>17.3</v>
      </c>
      <c r="F383" s="1172"/>
      <c r="G383" s="1172"/>
    </row>
    <row r="384" spans="2:7" ht="33.75" customHeight="1" x14ac:dyDescent="0.35">
      <c r="B384" s="2480"/>
      <c r="C384" s="2423" t="s">
        <v>1713</v>
      </c>
      <c r="D384" s="2408">
        <v>36.139000000000003</v>
      </c>
      <c r="F384" s="1172"/>
      <c r="G384" s="1172"/>
    </row>
    <row r="385" spans="2:7" ht="33.75" customHeight="1" x14ac:dyDescent="0.35">
      <c r="B385" s="2480"/>
      <c r="C385" s="2423" t="s">
        <v>1714</v>
      </c>
      <c r="D385" s="2408">
        <v>35.337000000000003</v>
      </c>
      <c r="F385" s="1172"/>
      <c r="G385" s="1172"/>
    </row>
    <row r="386" spans="2:7" ht="33.75" customHeight="1" x14ac:dyDescent="0.35">
      <c r="B386" s="2480"/>
      <c r="C386" s="2423" t="s">
        <v>1715</v>
      </c>
      <c r="D386" s="2408">
        <v>9.8000000000000007</v>
      </c>
      <c r="F386" s="1172"/>
      <c r="G386" s="1172"/>
    </row>
    <row r="387" spans="2:7" ht="33.75" customHeight="1" x14ac:dyDescent="0.35">
      <c r="B387" s="2480"/>
      <c r="C387" s="2423" t="s">
        <v>1716</v>
      </c>
      <c r="D387" s="2408">
        <v>127</v>
      </c>
      <c r="F387" s="1172"/>
      <c r="G387" s="1172"/>
    </row>
    <row r="388" spans="2:7" ht="33.75" customHeight="1" thickBot="1" x14ac:dyDescent="0.4">
      <c r="B388" s="2461"/>
      <c r="C388" s="2424" t="s">
        <v>1156</v>
      </c>
      <c r="D388" s="2408">
        <v>59.9</v>
      </c>
      <c r="F388" s="1172"/>
      <c r="G388" s="1172"/>
    </row>
    <row r="389" spans="2:7" ht="33.75" customHeight="1" x14ac:dyDescent="0.35">
      <c r="B389" s="2478" t="s">
        <v>1140</v>
      </c>
      <c r="C389" s="2400" t="s">
        <v>1717</v>
      </c>
      <c r="D389" s="2399">
        <v>32.155999999999999</v>
      </c>
      <c r="F389" s="1172"/>
      <c r="G389" s="1172"/>
    </row>
    <row r="390" spans="2:7" ht="33.75" customHeight="1" x14ac:dyDescent="0.35">
      <c r="B390" s="2478"/>
      <c r="C390" s="2395" t="s">
        <v>1718</v>
      </c>
      <c r="D390" s="2396">
        <v>126.36499999999999</v>
      </c>
      <c r="F390" s="1172"/>
      <c r="G390" s="1172"/>
    </row>
    <row r="391" spans="2:7" ht="33.75" customHeight="1" x14ac:dyDescent="0.35">
      <c r="B391" s="2478"/>
      <c r="C391" s="2395" t="s">
        <v>1719</v>
      </c>
      <c r="D391" s="2396">
        <v>28</v>
      </c>
      <c r="F391" s="1172"/>
      <c r="G391" s="1172"/>
    </row>
    <row r="392" spans="2:7" ht="33.75" customHeight="1" x14ac:dyDescent="0.35">
      <c r="B392" s="2478"/>
      <c r="C392" s="2395" t="s">
        <v>1720</v>
      </c>
      <c r="D392" s="2396">
        <v>4.4889999999999999</v>
      </c>
      <c r="F392" s="1172"/>
      <c r="G392" s="1172"/>
    </row>
    <row r="393" spans="2:7" ht="33.75" customHeight="1" x14ac:dyDescent="0.35">
      <c r="B393" s="2478"/>
      <c r="C393" s="2395" t="s">
        <v>1721</v>
      </c>
      <c r="D393" s="2396">
        <v>25.989000000000001</v>
      </c>
      <c r="F393" s="1172"/>
      <c r="G393" s="1172"/>
    </row>
    <row r="394" spans="2:7" ht="33.75" customHeight="1" x14ac:dyDescent="0.35">
      <c r="B394" s="2478"/>
      <c r="C394" s="2395" t="s">
        <v>1722</v>
      </c>
      <c r="D394" s="2396">
        <v>31.98</v>
      </c>
      <c r="F394" s="1172"/>
      <c r="G394" s="1172"/>
    </row>
    <row r="395" spans="2:7" ht="33.75" customHeight="1" x14ac:dyDescent="0.35">
      <c r="B395" s="2478"/>
      <c r="C395" s="2395" t="s">
        <v>1723</v>
      </c>
      <c r="D395" s="2396">
        <v>63.99</v>
      </c>
      <c r="F395" s="1172"/>
      <c r="G395" s="1172"/>
    </row>
    <row r="396" spans="2:7" ht="33.75" customHeight="1" x14ac:dyDescent="0.35">
      <c r="B396" s="2478"/>
      <c r="C396" s="2395" t="s">
        <v>1724</v>
      </c>
      <c r="D396" s="2396">
        <v>6.99</v>
      </c>
      <c r="F396" s="1172"/>
      <c r="G396" s="1172"/>
    </row>
    <row r="397" spans="2:7" ht="33.75" customHeight="1" x14ac:dyDescent="0.35">
      <c r="B397" s="2478"/>
      <c r="C397" s="2395" t="s">
        <v>1725</v>
      </c>
      <c r="D397" s="2396">
        <v>25.99</v>
      </c>
      <c r="F397" s="1172"/>
      <c r="G397" s="1172"/>
    </row>
    <row r="398" spans="2:7" ht="33.75" customHeight="1" x14ac:dyDescent="0.35">
      <c r="B398" s="2478"/>
      <c r="C398" s="2395" t="s">
        <v>1726</v>
      </c>
      <c r="D398" s="2396">
        <v>39.99</v>
      </c>
      <c r="F398" s="1172"/>
      <c r="G398" s="1172"/>
    </row>
    <row r="399" spans="2:7" ht="33.75" customHeight="1" x14ac:dyDescent="0.35">
      <c r="B399" s="2478"/>
      <c r="C399" s="2395" t="s">
        <v>1727</v>
      </c>
      <c r="D399" s="2396">
        <v>44.323</v>
      </c>
      <c r="F399" s="1172"/>
      <c r="G399" s="1172"/>
    </row>
    <row r="400" spans="2:7" ht="33.75" customHeight="1" x14ac:dyDescent="0.35">
      <c r="B400" s="2478"/>
      <c r="C400" s="2395" t="s">
        <v>1728</v>
      </c>
      <c r="D400" s="2396">
        <v>16.899999999999999</v>
      </c>
      <c r="F400" s="1172"/>
      <c r="G400" s="1172"/>
    </row>
    <row r="401" spans="2:7" ht="33.75" customHeight="1" x14ac:dyDescent="0.35">
      <c r="B401" s="2478"/>
      <c r="C401" s="2395" t="s">
        <v>1729</v>
      </c>
      <c r="D401" s="2396">
        <v>7</v>
      </c>
      <c r="F401" s="1172"/>
      <c r="G401" s="1172"/>
    </row>
    <row r="402" spans="2:7" ht="33.75" customHeight="1" x14ac:dyDescent="0.35">
      <c r="B402" s="2478"/>
      <c r="C402" s="2395" t="s">
        <v>1730</v>
      </c>
      <c r="D402" s="2396">
        <v>64.122</v>
      </c>
      <c r="F402" s="1172"/>
      <c r="G402" s="1172"/>
    </row>
    <row r="403" spans="2:7" ht="33.75" customHeight="1" thickBot="1" x14ac:dyDescent="0.4">
      <c r="B403" s="2478"/>
      <c r="C403" s="2404" t="s">
        <v>1731</v>
      </c>
      <c r="D403" s="2406">
        <v>54.997999999999998</v>
      </c>
      <c r="F403" s="1172"/>
      <c r="G403" s="1172"/>
    </row>
    <row r="404" spans="2:7" ht="33.75" customHeight="1" x14ac:dyDescent="0.35">
      <c r="B404" s="2481" t="s">
        <v>1732</v>
      </c>
      <c r="C404" s="2403" t="s">
        <v>1733</v>
      </c>
      <c r="D404" s="2405">
        <v>19.294</v>
      </c>
      <c r="F404" s="1172"/>
      <c r="G404" s="1172"/>
    </row>
    <row r="405" spans="2:7" ht="33.75" customHeight="1" thickBot="1" x14ac:dyDescent="0.4">
      <c r="B405" s="2481"/>
      <c r="C405" s="2404" t="s">
        <v>1734</v>
      </c>
      <c r="D405" s="2406">
        <v>2.4990000000000001</v>
      </c>
      <c r="F405" s="1172"/>
      <c r="G405" s="1172"/>
    </row>
    <row r="406" spans="2:7" ht="33.75" customHeight="1" x14ac:dyDescent="0.35">
      <c r="B406" s="2478" t="s">
        <v>1141</v>
      </c>
      <c r="C406" s="2401" t="s">
        <v>1735</v>
      </c>
      <c r="D406" s="2402">
        <v>135.05799999999999</v>
      </c>
      <c r="F406" s="1172"/>
      <c r="G406" s="1172"/>
    </row>
    <row r="407" spans="2:7" ht="33.75" customHeight="1" x14ac:dyDescent="0.35">
      <c r="B407" s="2478"/>
      <c r="C407" s="2395" t="s">
        <v>1736</v>
      </c>
      <c r="D407" s="2396">
        <v>128.46</v>
      </c>
      <c r="F407" s="1172"/>
      <c r="G407" s="1172"/>
    </row>
    <row r="408" spans="2:7" ht="33.75" customHeight="1" x14ac:dyDescent="0.35">
      <c r="B408" s="2478"/>
      <c r="C408" s="2395" t="s">
        <v>1737</v>
      </c>
      <c r="D408" s="2396">
        <v>34.99</v>
      </c>
      <c r="F408" s="1172"/>
      <c r="G408" s="1172"/>
    </row>
    <row r="409" spans="2:7" ht="33.75" customHeight="1" x14ac:dyDescent="0.35">
      <c r="B409" s="2478"/>
      <c r="C409" s="2395" t="s">
        <v>1721</v>
      </c>
      <c r="D409" s="2396">
        <v>19.989999999999998</v>
      </c>
      <c r="F409" s="1172"/>
      <c r="G409" s="1172"/>
    </row>
    <row r="410" spans="2:7" ht="33.75" customHeight="1" x14ac:dyDescent="0.35">
      <c r="B410" s="2478"/>
      <c r="C410" s="2395" t="s">
        <v>1738</v>
      </c>
      <c r="D410" s="2396">
        <v>10.99</v>
      </c>
      <c r="F410" s="1172"/>
      <c r="G410" s="1172"/>
    </row>
    <row r="411" spans="2:7" ht="33.75" customHeight="1" x14ac:dyDescent="0.35">
      <c r="B411" s="2478"/>
      <c r="C411" s="2395" t="s">
        <v>1739</v>
      </c>
      <c r="D411" s="2396">
        <v>7.99</v>
      </c>
      <c r="F411" s="1172"/>
      <c r="G411" s="1172"/>
    </row>
    <row r="412" spans="2:7" ht="33.75" customHeight="1" x14ac:dyDescent="0.35">
      <c r="B412" s="2478"/>
      <c r="C412" s="2395" t="s">
        <v>1740</v>
      </c>
      <c r="D412" s="2396">
        <v>8.4990000000000006</v>
      </c>
      <c r="F412" s="1172"/>
      <c r="G412" s="1172"/>
    </row>
    <row r="413" spans="2:7" ht="33.75" customHeight="1" x14ac:dyDescent="0.35">
      <c r="B413" s="2478"/>
      <c r="C413" s="2426" t="s">
        <v>1741</v>
      </c>
      <c r="D413" s="2396">
        <v>280.99</v>
      </c>
      <c r="F413" s="1172"/>
      <c r="G413" s="1172"/>
    </row>
    <row r="414" spans="2:7" ht="33.75" customHeight="1" thickBot="1" x14ac:dyDescent="0.4">
      <c r="B414" s="2478"/>
      <c r="C414" s="2397" t="s">
        <v>1742</v>
      </c>
      <c r="D414" s="2398">
        <v>13.69</v>
      </c>
      <c r="F414" s="1172"/>
      <c r="G414" s="1172"/>
    </row>
    <row r="415" spans="2:7" ht="33.75" customHeight="1" x14ac:dyDescent="0.35">
      <c r="B415" s="2478" t="s">
        <v>1142</v>
      </c>
      <c r="C415" s="2427" t="s">
        <v>1743</v>
      </c>
      <c r="D415" s="2402">
        <v>1291.26</v>
      </c>
      <c r="F415" s="1172"/>
      <c r="G415" s="1172"/>
    </row>
    <row r="416" spans="2:7" ht="33.75" customHeight="1" x14ac:dyDescent="0.35">
      <c r="B416" s="2478"/>
      <c r="C416" s="2423" t="s">
        <v>1744</v>
      </c>
      <c r="D416" s="2396">
        <v>150</v>
      </c>
      <c r="F416" s="1172"/>
      <c r="G416" s="1172"/>
    </row>
    <row r="417" spans="2:7" ht="33.75" customHeight="1" x14ac:dyDescent="0.35">
      <c r="B417" s="2478"/>
      <c r="C417" s="2423" t="s">
        <v>1745</v>
      </c>
      <c r="D417" s="2396">
        <v>450</v>
      </c>
      <c r="F417" s="1172"/>
      <c r="G417" s="1172"/>
    </row>
    <row r="418" spans="2:7" ht="33.75" customHeight="1" x14ac:dyDescent="0.35">
      <c r="B418" s="2478"/>
      <c r="C418" s="2423" t="s">
        <v>1138</v>
      </c>
      <c r="D418" s="2396">
        <v>6.431</v>
      </c>
      <c r="F418" s="1172"/>
      <c r="G418" s="1172"/>
    </row>
    <row r="419" spans="2:7" ht="33.75" customHeight="1" x14ac:dyDescent="0.35">
      <c r="B419" s="2478"/>
      <c r="C419" s="2423" t="s">
        <v>1746</v>
      </c>
      <c r="D419" s="2396">
        <v>22.847000000000001</v>
      </c>
      <c r="F419" s="1172"/>
      <c r="G419" s="1172"/>
    </row>
    <row r="420" spans="2:7" ht="33.75" customHeight="1" x14ac:dyDescent="0.35">
      <c r="B420" s="2478"/>
      <c r="C420" s="2423" t="s">
        <v>1747</v>
      </c>
      <c r="D420" s="2396">
        <v>39.700000000000003</v>
      </c>
      <c r="F420" s="1172"/>
      <c r="G420" s="1172"/>
    </row>
    <row r="421" spans="2:7" ht="33.75" customHeight="1" x14ac:dyDescent="0.35">
      <c r="B421" s="2478"/>
      <c r="C421" s="2423" t="s">
        <v>1748</v>
      </c>
      <c r="D421" s="2396">
        <v>19.59</v>
      </c>
      <c r="F421" s="1172"/>
      <c r="G421" s="1172"/>
    </row>
    <row r="422" spans="2:7" ht="33.75" customHeight="1" thickBot="1" x14ac:dyDescent="0.4">
      <c r="B422" s="2478"/>
      <c r="C422" s="2425" t="s">
        <v>1749</v>
      </c>
      <c r="D422" s="2406">
        <v>6.5</v>
      </c>
      <c r="F422" s="1172"/>
      <c r="G422" s="1172"/>
    </row>
    <row r="423" spans="2:7" ht="33.75" customHeight="1" x14ac:dyDescent="0.35">
      <c r="B423" s="2478" t="s">
        <v>1750</v>
      </c>
      <c r="C423" s="2427" t="s">
        <v>1751</v>
      </c>
      <c r="D423" s="2405">
        <v>595.43299999999999</v>
      </c>
      <c r="F423" s="1172"/>
      <c r="G423" s="1172"/>
    </row>
    <row r="424" spans="2:7" ht="33.75" customHeight="1" x14ac:dyDescent="0.35">
      <c r="B424" s="2478"/>
      <c r="C424" s="2423" t="s">
        <v>1752</v>
      </c>
      <c r="D424" s="2396">
        <v>26.99</v>
      </c>
      <c r="F424" s="1172"/>
      <c r="G424" s="1172"/>
    </row>
    <row r="425" spans="2:7" ht="33.75" customHeight="1" thickBot="1" x14ac:dyDescent="0.4">
      <c r="B425" s="2482"/>
      <c r="C425" s="2428" t="s">
        <v>1753</v>
      </c>
      <c r="D425" s="2398">
        <v>7.9989999999999997</v>
      </c>
      <c r="F425" s="1172"/>
      <c r="G425" s="1172"/>
    </row>
    <row r="426" spans="2:7" ht="33.75" customHeight="1" thickBot="1" x14ac:dyDescent="0.45">
      <c r="B426" s="2279" t="s">
        <v>1131</v>
      </c>
      <c r="C426" s="2280"/>
      <c r="D426" s="2498">
        <f>SUM(D315:D425)</f>
        <v>54172.186000000016</v>
      </c>
      <c r="F426" s="1172"/>
      <c r="G426" s="1172"/>
    </row>
    <row r="427" spans="2:7" s="2263" customFormat="1" ht="33.75" customHeight="1" thickBot="1" x14ac:dyDescent="0.45">
      <c r="B427" s="1180" t="s">
        <v>1143</v>
      </c>
      <c r="C427" s="2386"/>
      <c r="D427" s="2496">
        <f>D426+D313+D268+D227+D206</f>
        <v>110163.56400000003</v>
      </c>
      <c r="F427" s="1174"/>
      <c r="G427" s="1174"/>
    </row>
    <row r="428" spans="2:7" ht="33.75" customHeight="1" x14ac:dyDescent="0.4">
      <c r="B428" s="1178" t="s">
        <v>1144</v>
      </c>
      <c r="C428" s="2389"/>
      <c r="D428" s="2402"/>
    </row>
    <row r="429" spans="2:7" ht="33.75" customHeight="1" x14ac:dyDescent="0.35">
      <c r="B429" s="2469" t="s">
        <v>1145</v>
      </c>
      <c r="C429" s="2429" t="s">
        <v>1754</v>
      </c>
      <c r="D429" s="2396">
        <v>6732</v>
      </c>
    </row>
    <row r="430" spans="2:7" ht="33.75" customHeight="1" x14ac:dyDescent="0.4">
      <c r="B430" s="2469"/>
      <c r="C430" s="2429" t="s">
        <v>1755</v>
      </c>
      <c r="D430" s="2396">
        <v>57</v>
      </c>
      <c r="F430" s="1172"/>
      <c r="G430" s="2282"/>
    </row>
    <row r="431" spans="2:7" ht="33.75" customHeight="1" x14ac:dyDescent="0.4">
      <c r="B431" s="2469"/>
      <c r="C431" s="2395" t="s">
        <v>1756</v>
      </c>
      <c r="D431" s="2394">
        <v>265</v>
      </c>
      <c r="F431" s="1172"/>
      <c r="G431" s="2282"/>
    </row>
    <row r="432" spans="2:7" ht="33.75" customHeight="1" thickBot="1" x14ac:dyDescent="0.45">
      <c r="B432" s="2469"/>
      <c r="C432" s="2430" t="s">
        <v>1757</v>
      </c>
      <c r="D432" s="2396">
        <v>42</v>
      </c>
      <c r="F432" s="1172"/>
      <c r="G432" s="2282"/>
    </row>
    <row r="433" spans="2:7" s="2263" customFormat="1" ht="33.75" customHeight="1" thickBot="1" x14ac:dyDescent="0.45">
      <c r="B433" s="1180" t="s">
        <v>1131</v>
      </c>
      <c r="C433" s="2386"/>
      <c r="D433" s="2496">
        <f>SUM(D429:D432)</f>
        <v>7096</v>
      </c>
      <c r="F433" s="1174"/>
      <c r="G433" s="1174"/>
    </row>
    <row r="434" spans="2:7" ht="33.75" customHeight="1" x14ac:dyDescent="0.4">
      <c r="B434" s="1178" t="s">
        <v>1146</v>
      </c>
      <c r="C434" s="2387"/>
      <c r="D434" s="2402"/>
    </row>
    <row r="435" spans="2:7" ht="33.75" customHeight="1" x14ac:dyDescent="0.35">
      <c r="B435" s="2469" t="s">
        <v>1147</v>
      </c>
      <c r="C435" s="2393" t="s">
        <v>1758</v>
      </c>
      <c r="D435" s="2431">
        <v>816</v>
      </c>
    </row>
    <row r="436" spans="2:7" ht="33.75" customHeight="1" x14ac:dyDescent="0.35">
      <c r="B436" s="2469" t="s">
        <v>1148</v>
      </c>
      <c r="C436" s="2395" t="s">
        <v>1759</v>
      </c>
      <c r="D436" s="2432">
        <v>964</v>
      </c>
    </row>
    <row r="437" spans="2:7" ht="33.75" customHeight="1" x14ac:dyDescent="0.35">
      <c r="B437" s="2469"/>
      <c r="C437" s="2395" t="s">
        <v>1149</v>
      </c>
      <c r="D437" s="2432">
        <v>939</v>
      </c>
    </row>
    <row r="438" spans="2:7" ht="33.75" customHeight="1" x14ac:dyDescent="0.35">
      <c r="B438" s="2469"/>
      <c r="C438" s="2395" t="s">
        <v>1760</v>
      </c>
      <c r="D438" s="2432">
        <v>3794</v>
      </c>
    </row>
    <row r="439" spans="2:7" ht="33.75" customHeight="1" x14ac:dyDescent="0.35">
      <c r="B439" s="2469"/>
      <c r="C439" s="2395" t="s">
        <v>1761</v>
      </c>
      <c r="D439" s="2432">
        <v>356</v>
      </c>
    </row>
    <row r="440" spans="2:7" ht="33.75" customHeight="1" x14ac:dyDescent="0.35">
      <c r="B440" s="2469"/>
      <c r="C440" s="2395" t="s">
        <v>1762</v>
      </c>
      <c r="D440" s="2432">
        <v>325</v>
      </c>
    </row>
    <row r="441" spans="2:7" ht="33.75" customHeight="1" x14ac:dyDescent="0.35">
      <c r="B441" s="2469"/>
      <c r="C441" s="2395" t="s">
        <v>1150</v>
      </c>
      <c r="D441" s="2432">
        <v>1426</v>
      </c>
    </row>
    <row r="442" spans="2:7" ht="33.75" customHeight="1" x14ac:dyDescent="0.35">
      <c r="B442" s="2469"/>
      <c r="C442" s="2395" t="s">
        <v>1763</v>
      </c>
      <c r="D442" s="2432">
        <v>414</v>
      </c>
    </row>
    <row r="443" spans="2:7" ht="33.75" customHeight="1" x14ac:dyDescent="0.35">
      <c r="B443" s="2469"/>
      <c r="C443" s="2395" t="s">
        <v>1764</v>
      </c>
      <c r="D443" s="2432">
        <v>959</v>
      </c>
    </row>
    <row r="444" spans="2:7" ht="33.75" customHeight="1" thickBot="1" x14ac:dyDescent="0.4">
      <c r="B444" s="2469"/>
      <c r="C444" s="2395"/>
      <c r="D444" s="2432"/>
    </row>
    <row r="445" spans="2:7" s="2263" customFormat="1" ht="33.75" customHeight="1" thickBot="1" x14ac:dyDescent="0.45">
      <c r="B445" s="1180" t="s">
        <v>1131</v>
      </c>
      <c r="C445" s="2386"/>
      <c r="D445" s="2496">
        <f>SUM(D435:D444)</f>
        <v>9993</v>
      </c>
      <c r="F445" s="1174"/>
      <c r="G445" s="1174"/>
    </row>
    <row r="446" spans="2:7" ht="33.75" customHeight="1" x14ac:dyDescent="0.4">
      <c r="B446" s="1179" t="s">
        <v>1151</v>
      </c>
      <c r="C446" s="2387"/>
      <c r="D446" s="2402"/>
    </row>
    <row r="447" spans="2:7" ht="33.75" customHeight="1" thickBot="1" x14ac:dyDescent="0.4">
      <c r="B447" s="2483" t="s">
        <v>1765</v>
      </c>
      <c r="C447" s="2403"/>
      <c r="D447" s="2405"/>
    </row>
    <row r="448" spans="2:7" ht="33.75" customHeight="1" x14ac:dyDescent="0.35">
      <c r="B448" s="2484" t="s">
        <v>1152</v>
      </c>
      <c r="C448" s="2400" t="s">
        <v>1766</v>
      </c>
      <c r="D448" s="2399">
        <v>597</v>
      </c>
    </row>
    <row r="449" spans="2:7" ht="33.75" customHeight="1" x14ac:dyDescent="0.35">
      <c r="B449" s="2485"/>
      <c r="C449" s="2395" t="s">
        <v>1767</v>
      </c>
      <c r="D449" s="2394">
        <v>15</v>
      </c>
    </row>
    <row r="450" spans="2:7" ht="33.75" customHeight="1" x14ac:dyDescent="0.35">
      <c r="B450" s="2485"/>
      <c r="C450" s="2395" t="s">
        <v>1768</v>
      </c>
      <c r="D450" s="2396">
        <v>13</v>
      </c>
    </row>
    <row r="451" spans="2:7" ht="33.75" customHeight="1" x14ac:dyDescent="0.35">
      <c r="B451" s="2485"/>
      <c r="C451" s="2393" t="s">
        <v>1769</v>
      </c>
      <c r="D451" s="2394">
        <v>165</v>
      </c>
    </row>
    <row r="452" spans="2:7" ht="33.75" customHeight="1" thickBot="1" x14ac:dyDescent="0.4">
      <c r="B452" s="2485"/>
      <c r="C452" s="2404" t="s">
        <v>1770</v>
      </c>
      <c r="D452" s="2406">
        <v>100</v>
      </c>
    </row>
    <row r="453" spans="2:7" ht="33.75" customHeight="1" x14ac:dyDescent="0.35">
      <c r="B453" s="2486" t="s">
        <v>1771</v>
      </c>
      <c r="C453" s="2417" t="s">
        <v>1772</v>
      </c>
      <c r="D453" s="2399">
        <v>225</v>
      </c>
    </row>
    <row r="454" spans="2:7" ht="33.75" customHeight="1" x14ac:dyDescent="0.35">
      <c r="B454" s="2485"/>
      <c r="C454" s="2418" t="s">
        <v>1773</v>
      </c>
      <c r="D454" s="2396">
        <v>38</v>
      </c>
      <c r="F454" s="1172"/>
      <c r="G454" s="1172"/>
    </row>
    <row r="455" spans="2:7" ht="33.75" customHeight="1" x14ac:dyDescent="0.35">
      <c r="B455" s="2485"/>
      <c r="C455" s="2418" t="s">
        <v>1774</v>
      </c>
      <c r="D455" s="2396">
        <v>51</v>
      </c>
      <c r="F455" s="1172"/>
      <c r="G455" s="1172"/>
    </row>
    <row r="456" spans="2:7" ht="33.75" customHeight="1" x14ac:dyDescent="0.35">
      <c r="B456" s="2485"/>
      <c r="C456" s="2418" t="s">
        <v>1774</v>
      </c>
      <c r="D456" s="2396">
        <v>54</v>
      </c>
      <c r="F456" s="1172"/>
      <c r="G456" s="1172"/>
    </row>
    <row r="457" spans="2:7" ht="33.75" customHeight="1" thickBot="1" x14ac:dyDescent="0.4">
      <c r="B457" s="2485"/>
      <c r="C457" s="2420" t="s">
        <v>1775</v>
      </c>
      <c r="D457" s="2398">
        <v>34</v>
      </c>
      <c r="F457" s="1172"/>
      <c r="G457" s="1172"/>
    </row>
    <row r="458" spans="2:7" ht="33.75" customHeight="1" x14ac:dyDescent="0.35">
      <c r="B458" s="2486" t="s">
        <v>1153</v>
      </c>
      <c r="C458" s="2400" t="s">
        <v>1776</v>
      </c>
      <c r="D458" s="2399">
        <v>1799</v>
      </c>
    </row>
    <row r="459" spans="2:7" ht="33.75" customHeight="1" x14ac:dyDescent="0.35">
      <c r="B459" s="2485"/>
      <c r="C459" s="2395" t="s">
        <v>1777</v>
      </c>
      <c r="D459" s="2396">
        <v>37</v>
      </c>
    </row>
    <row r="460" spans="2:7" ht="33.75" customHeight="1" x14ac:dyDescent="0.35">
      <c r="B460" s="2485"/>
      <c r="C460" s="2395" t="s">
        <v>1778</v>
      </c>
      <c r="D460" s="2396">
        <v>200</v>
      </c>
    </row>
    <row r="461" spans="2:7" ht="33.75" customHeight="1" x14ac:dyDescent="0.35">
      <c r="B461" s="2486"/>
      <c r="C461" s="2393" t="s">
        <v>1779</v>
      </c>
      <c r="D461" s="2394">
        <v>16</v>
      </c>
    </row>
    <row r="462" spans="2:7" ht="33.75" customHeight="1" x14ac:dyDescent="0.35">
      <c r="B462" s="2485"/>
      <c r="C462" s="2393" t="s">
        <v>1780</v>
      </c>
      <c r="D462" s="2394">
        <v>90</v>
      </c>
    </row>
    <row r="463" spans="2:7" ht="33.75" customHeight="1" x14ac:dyDescent="0.35">
      <c r="B463" s="2485"/>
      <c r="C463" s="2393" t="s">
        <v>1639</v>
      </c>
      <c r="D463" s="2394">
        <v>40</v>
      </c>
    </row>
    <row r="464" spans="2:7" ht="33.75" customHeight="1" x14ac:dyDescent="0.35">
      <c r="B464" s="2485"/>
      <c r="C464" s="2393" t="s">
        <v>1781</v>
      </c>
      <c r="D464" s="2394">
        <v>9</v>
      </c>
    </row>
    <row r="465" spans="2:4" ht="33.75" customHeight="1" thickBot="1" x14ac:dyDescent="0.4">
      <c r="B465" s="2485"/>
      <c r="C465" s="2393" t="s">
        <v>1154</v>
      </c>
      <c r="D465" s="2394">
        <v>19</v>
      </c>
    </row>
    <row r="466" spans="2:4" ht="33.75" customHeight="1" x14ac:dyDescent="0.35">
      <c r="B466" s="2486" t="s">
        <v>1155</v>
      </c>
      <c r="C466" s="2400" t="s">
        <v>1782</v>
      </c>
      <c r="D466" s="2399">
        <v>97</v>
      </c>
    </row>
    <row r="467" spans="2:4" ht="33.75" customHeight="1" x14ac:dyDescent="0.35">
      <c r="B467" s="2485"/>
      <c r="C467" s="2393" t="s">
        <v>1783</v>
      </c>
      <c r="D467" s="2394">
        <v>54</v>
      </c>
    </row>
    <row r="468" spans="2:4" ht="33.75" customHeight="1" x14ac:dyDescent="0.35">
      <c r="B468" s="2485"/>
      <c r="C468" s="2393" t="s">
        <v>1773</v>
      </c>
      <c r="D468" s="2394">
        <v>19</v>
      </c>
    </row>
    <row r="469" spans="2:4" ht="33.75" customHeight="1" x14ac:dyDescent="0.35">
      <c r="B469" s="2485"/>
      <c r="C469" s="2393" t="s">
        <v>1784</v>
      </c>
      <c r="D469" s="2394">
        <v>45</v>
      </c>
    </row>
    <row r="470" spans="2:4" ht="33.75" customHeight="1" thickBot="1" x14ac:dyDescent="0.4">
      <c r="B470" s="2485"/>
      <c r="C470" s="2393" t="s">
        <v>1785</v>
      </c>
      <c r="D470" s="2394">
        <v>94</v>
      </c>
    </row>
    <row r="471" spans="2:4" ht="33.75" customHeight="1" x14ac:dyDescent="0.35">
      <c r="B471" s="2486" t="s">
        <v>1157</v>
      </c>
      <c r="C471" s="2400" t="s">
        <v>1786</v>
      </c>
      <c r="D471" s="2399">
        <v>276</v>
      </c>
    </row>
    <row r="472" spans="2:4" ht="33.75" customHeight="1" thickBot="1" x14ac:dyDescent="0.4">
      <c r="B472" s="2485"/>
      <c r="C472" s="2393" t="s">
        <v>1787</v>
      </c>
      <c r="D472" s="2394">
        <v>36</v>
      </c>
    </row>
    <row r="473" spans="2:4" ht="33.75" customHeight="1" x14ac:dyDescent="0.35">
      <c r="B473" s="2486" t="s">
        <v>1158</v>
      </c>
      <c r="C473" s="2400" t="s">
        <v>1788</v>
      </c>
      <c r="D473" s="2399">
        <v>97</v>
      </c>
    </row>
    <row r="474" spans="2:4" ht="33.75" customHeight="1" x14ac:dyDescent="0.35">
      <c r="B474" s="2485"/>
      <c r="C474" s="2393" t="s">
        <v>1783</v>
      </c>
      <c r="D474" s="2394">
        <v>27</v>
      </c>
    </row>
    <row r="475" spans="2:4" ht="33.75" customHeight="1" x14ac:dyDescent="0.35">
      <c r="B475" s="2485"/>
      <c r="C475" s="2393" t="s">
        <v>1789</v>
      </c>
      <c r="D475" s="2394">
        <v>99</v>
      </c>
    </row>
    <row r="476" spans="2:4" ht="33.75" customHeight="1" x14ac:dyDescent="0.35">
      <c r="B476" s="2485"/>
      <c r="C476" s="2393" t="s">
        <v>1790</v>
      </c>
      <c r="D476" s="2394">
        <v>30</v>
      </c>
    </row>
    <row r="477" spans="2:4" ht="33.75" customHeight="1" x14ac:dyDescent="0.35">
      <c r="B477" s="2485"/>
      <c r="C477" s="2393" t="s">
        <v>1791</v>
      </c>
      <c r="D477" s="2394">
        <v>120</v>
      </c>
    </row>
    <row r="478" spans="2:4" ht="33.75" customHeight="1" thickBot="1" x14ac:dyDescent="0.4">
      <c r="B478" s="2485"/>
      <c r="C478" s="2393" t="s">
        <v>1792</v>
      </c>
      <c r="D478" s="2394">
        <v>117</v>
      </c>
    </row>
    <row r="479" spans="2:4" ht="33.75" customHeight="1" x14ac:dyDescent="0.35">
      <c r="B479" s="2486" t="s">
        <v>1159</v>
      </c>
      <c r="C479" s="2400" t="s">
        <v>1793</v>
      </c>
      <c r="D479" s="2399">
        <v>49</v>
      </c>
    </row>
    <row r="480" spans="2:4" ht="33.75" customHeight="1" x14ac:dyDescent="0.35">
      <c r="B480" s="2486"/>
      <c r="C480" s="2393" t="s">
        <v>1794</v>
      </c>
      <c r="D480" s="2394">
        <v>20</v>
      </c>
    </row>
    <row r="481" spans="2:7" ht="33.75" customHeight="1" x14ac:dyDescent="0.35">
      <c r="B481" s="2486"/>
      <c r="C481" s="2393" t="s">
        <v>1795</v>
      </c>
      <c r="D481" s="2394">
        <v>101</v>
      </c>
      <c r="F481" s="1172"/>
      <c r="G481" s="1172"/>
    </row>
    <row r="482" spans="2:7" ht="33.75" customHeight="1" x14ac:dyDescent="0.35">
      <c r="B482" s="2486"/>
      <c r="C482" s="2393" t="s">
        <v>1785</v>
      </c>
      <c r="D482" s="2394">
        <v>93</v>
      </c>
      <c r="F482" s="1172"/>
      <c r="G482" s="1172"/>
    </row>
    <row r="483" spans="2:7" ht="33.75" customHeight="1" x14ac:dyDescent="0.35">
      <c r="B483" s="2486"/>
      <c r="C483" s="2393" t="s">
        <v>1796</v>
      </c>
      <c r="D483" s="2394">
        <v>36</v>
      </c>
      <c r="F483" s="1172"/>
      <c r="G483" s="1172"/>
    </row>
    <row r="484" spans="2:7" ht="33.75" customHeight="1" x14ac:dyDescent="0.35">
      <c r="B484" s="2486" t="s">
        <v>1161</v>
      </c>
      <c r="C484" s="2393" t="s">
        <v>1793</v>
      </c>
      <c r="D484" s="2394">
        <v>49</v>
      </c>
    </row>
    <row r="485" spans="2:7" ht="33.75" customHeight="1" x14ac:dyDescent="0.35">
      <c r="B485" s="2486"/>
      <c r="C485" s="2393" t="s">
        <v>1789</v>
      </c>
      <c r="D485" s="2394">
        <v>61</v>
      </c>
      <c r="F485" s="1172"/>
      <c r="G485" s="1172"/>
    </row>
    <row r="486" spans="2:7" ht="33.75" customHeight="1" x14ac:dyDescent="0.35">
      <c r="B486" s="2486"/>
      <c r="C486" s="2393" t="s">
        <v>1160</v>
      </c>
      <c r="D486" s="2394">
        <v>29</v>
      </c>
      <c r="F486" s="1172"/>
      <c r="G486" s="1172"/>
    </row>
    <row r="487" spans="2:7" ht="33.75" customHeight="1" x14ac:dyDescent="0.35">
      <c r="B487" s="2486" t="s">
        <v>1162</v>
      </c>
      <c r="C487" s="2393" t="s">
        <v>1793</v>
      </c>
      <c r="D487" s="2394">
        <v>49</v>
      </c>
    </row>
    <row r="488" spans="2:7" ht="33.75" customHeight="1" x14ac:dyDescent="0.35">
      <c r="B488" s="2485"/>
      <c r="C488" s="2393" t="s">
        <v>1796</v>
      </c>
      <c r="D488" s="2394">
        <v>36</v>
      </c>
    </row>
    <row r="489" spans="2:7" ht="33.75" customHeight="1" x14ac:dyDescent="0.35">
      <c r="B489" s="2485"/>
      <c r="C489" s="2393" t="s">
        <v>1133</v>
      </c>
      <c r="D489" s="2394">
        <v>174</v>
      </c>
    </row>
    <row r="490" spans="2:7" ht="33.75" customHeight="1" x14ac:dyDescent="0.35">
      <c r="B490" s="2485"/>
      <c r="C490" s="2393" t="s">
        <v>1797</v>
      </c>
      <c r="D490" s="2394">
        <v>19</v>
      </c>
    </row>
    <row r="491" spans="2:7" ht="33.75" customHeight="1" thickBot="1" x14ac:dyDescent="0.4">
      <c r="B491" s="2486" t="s">
        <v>1163</v>
      </c>
      <c r="C491" s="2393" t="s">
        <v>1798</v>
      </c>
      <c r="D491" s="2394">
        <v>99</v>
      </c>
    </row>
    <row r="492" spans="2:7" ht="33.75" customHeight="1" thickBot="1" x14ac:dyDescent="0.45">
      <c r="B492" s="1180" t="s">
        <v>1131</v>
      </c>
      <c r="C492" s="2270"/>
      <c r="D492" s="2496">
        <f>SUM(D448:D491)</f>
        <v>5428</v>
      </c>
      <c r="F492" s="1172"/>
      <c r="G492" s="1172"/>
    </row>
    <row r="493" spans="2:7" ht="33.75" customHeight="1" x14ac:dyDescent="0.35">
      <c r="B493" s="2823" t="s">
        <v>1164</v>
      </c>
      <c r="C493" s="2401" t="s">
        <v>1799</v>
      </c>
      <c r="D493" s="2433">
        <v>41.274999999999999</v>
      </c>
    </row>
    <row r="494" spans="2:7" ht="33.75" customHeight="1" x14ac:dyDescent="0.35">
      <c r="B494" s="2824"/>
      <c r="C494" s="2395" t="s">
        <v>1800</v>
      </c>
      <c r="D494" s="2396">
        <v>2654.4270000000001</v>
      </c>
    </row>
    <row r="495" spans="2:7" ht="33.75" customHeight="1" x14ac:dyDescent="0.35">
      <c r="B495" s="2824"/>
      <c r="C495" s="2395" t="s">
        <v>1801</v>
      </c>
      <c r="D495" s="2396">
        <v>363.69</v>
      </c>
    </row>
    <row r="496" spans="2:7" ht="33.75" customHeight="1" x14ac:dyDescent="0.35">
      <c r="B496" s="2824"/>
      <c r="C496" s="2395" t="s">
        <v>1802</v>
      </c>
      <c r="D496" s="2396">
        <v>122.93600000000001</v>
      </c>
    </row>
    <row r="497" spans="2:6" ht="33.75" customHeight="1" x14ac:dyDescent="0.35">
      <c r="B497" s="2487"/>
      <c r="C497" s="2395" t="s">
        <v>1803</v>
      </c>
      <c r="D497" s="2396">
        <v>1999</v>
      </c>
    </row>
    <row r="498" spans="2:6" ht="33.75" customHeight="1" x14ac:dyDescent="0.35">
      <c r="B498" s="2487"/>
      <c r="C498" s="2395" t="s">
        <v>1804</v>
      </c>
      <c r="D498" s="2396">
        <v>2980.4389999999999</v>
      </c>
    </row>
    <row r="499" spans="2:6" ht="33.75" customHeight="1" x14ac:dyDescent="0.35">
      <c r="B499" s="2488"/>
      <c r="C499" s="2395" t="s">
        <v>1805</v>
      </c>
      <c r="D499" s="2396">
        <v>40.900349999999996</v>
      </c>
    </row>
    <row r="500" spans="2:6" ht="33.75" customHeight="1" x14ac:dyDescent="0.35">
      <c r="B500" s="2488"/>
      <c r="C500" s="2395" t="s">
        <v>1806</v>
      </c>
      <c r="D500" s="2396">
        <v>8.9001599999999996</v>
      </c>
      <c r="F500" s="1172"/>
    </row>
    <row r="501" spans="2:6" ht="33.75" customHeight="1" x14ac:dyDescent="0.35">
      <c r="B501" s="2488"/>
      <c r="C501" s="2393" t="s">
        <v>1807</v>
      </c>
      <c r="D501" s="2394">
        <v>45.57649</v>
      </c>
    </row>
    <row r="502" spans="2:6" ht="33.75" customHeight="1" x14ac:dyDescent="0.35">
      <c r="B502" s="2488"/>
      <c r="C502" s="2395" t="s">
        <v>1808</v>
      </c>
      <c r="D502" s="2396">
        <v>46.225000000000001</v>
      </c>
    </row>
    <row r="503" spans="2:6" ht="33.75" customHeight="1" x14ac:dyDescent="0.35">
      <c r="B503" s="2488"/>
      <c r="C503" s="2395" t="s">
        <v>1809</v>
      </c>
      <c r="D503" s="2396">
        <v>96</v>
      </c>
    </row>
    <row r="504" spans="2:6" ht="33.75" customHeight="1" x14ac:dyDescent="0.35">
      <c r="B504" s="2488"/>
      <c r="C504" s="2395" t="s">
        <v>1810</v>
      </c>
      <c r="D504" s="2396">
        <v>24.950420000000001</v>
      </c>
    </row>
    <row r="505" spans="2:6" ht="33.75" customHeight="1" x14ac:dyDescent="0.35">
      <c r="B505" s="2488"/>
      <c r="C505" s="2395" t="s">
        <v>1811</v>
      </c>
      <c r="D505" s="2396">
        <v>349.99930000000001</v>
      </c>
    </row>
    <row r="506" spans="2:6" ht="33.75" customHeight="1" x14ac:dyDescent="0.35">
      <c r="B506" s="2488"/>
      <c r="C506" s="2395" t="s">
        <v>1812</v>
      </c>
      <c r="D506" s="2396">
        <v>72.500489999999999</v>
      </c>
    </row>
    <row r="507" spans="2:6" ht="33.75" customHeight="1" x14ac:dyDescent="0.35">
      <c r="B507" s="2488"/>
      <c r="C507" s="2395" t="s">
        <v>1813</v>
      </c>
      <c r="D507" s="2396">
        <v>6.9989699999999999</v>
      </c>
    </row>
    <row r="508" spans="2:6" ht="33.75" customHeight="1" x14ac:dyDescent="0.35">
      <c r="B508" s="2488"/>
      <c r="C508" s="2395" t="s">
        <v>1814</v>
      </c>
      <c r="D508" s="2396">
        <v>13.99794</v>
      </c>
    </row>
    <row r="509" spans="2:6" ht="33.75" customHeight="1" x14ac:dyDescent="0.35">
      <c r="B509" s="2488"/>
      <c r="C509" s="2395" t="s">
        <v>1815</v>
      </c>
      <c r="D509" s="2396">
        <v>89.143839999999997</v>
      </c>
    </row>
    <row r="510" spans="2:6" ht="33.75" customHeight="1" x14ac:dyDescent="0.35">
      <c r="B510" s="2488"/>
      <c r="C510" s="2395" t="s">
        <v>1816</v>
      </c>
      <c r="D510" s="2396">
        <v>8.6804500000000004</v>
      </c>
    </row>
    <row r="511" spans="2:6" ht="33.75" customHeight="1" x14ac:dyDescent="0.35">
      <c r="B511" s="2488"/>
      <c r="C511" s="2395" t="s">
        <v>1817</v>
      </c>
      <c r="D511" s="2396">
        <v>34.505900000000004</v>
      </c>
    </row>
    <row r="512" spans="2:6" ht="33.75" customHeight="1" x14ac:dyDescent="0.35">
      <c r="B512" s="2488"/>
      <c r="C512" s="2395" t="s">
        <v>1165</v>
      </c>
      <c r="D512" s="2396">
        <v>38.999160000000003</v>
      </c>
    </row>
    <row r="513" spans="2:4" ht="33.75" customHeight="1" x14ac:dyDescent="0.35">
      <c r="B513" s="2488"/>
      <c r="C513" s="2395" t="s">
        <v>1818</v>
      </c>
      <c r="D513" s="2396">
        <v>26.998930000000001</v>
      </c>
    </row>
    <row r="514" spans="2:4" ht="33.75" customHeight="1" x14ac:dyDescent="0.35">
      <c r="B514" s="2488"/>
      <c r="C514" s="2395" t="s">
        <v>1819</v>
      </c>
      <c r="D514" s="2396">
        <v>43.990259999999999</v>
      </c>
    </row>
    <row r="515" spans="2:4" ht="33.75" customHeight="1" x14ac:dyDescent="0.35">
      <c r="B515" s="2488"/>
      <c r="C515" s="2395" t="s">
        <v>1820</v>
      </c>
      <c r="D515" s="2396">
        <v>45.99051</v>
      </c>
    </row>
    <row r="516" spans="2:4" ht="33.75" customHeight="1" x14ac:dyDescent="0.35">
      <c r="B516" s="2488"/>
      <c r="C516" s="2395" t="s">
        <v>1821</v>
      </c>
      <c r="D516" s="2396">
        <v>51.050190000000001</v>
      </c>
    </row>
    <row r="517" spans="2:4" ht="33.75" customHeight="1" x14ac:dyDescent="0.35">
      <c r="B517" s="2488"/>
      <c r="C517" s="2395" t="s">
        <v>1822</v>
      </c>
      <c r="D517" s="2396">
        <v>188.98997</v>
      </c>
    </row>
    <row r="518" spans="2:4" ht="33.75" customHeight="1" x14ac:dyDescent="0.35">
      <c r="B518" s="2488"/>
      <c r="C518" s="2393" t="s">
        <v>1779</v>
      </c>
      <c r="D518" s="2394">
        <v>12.00023</v>
      </c>
    </row>
    <row r="519" spans="2:4" ht="33.75" customHeight="1" x14ac:dyDescent="0.35">
      <c r="B519" s="2488"/>
      <c r="C519" s="2393" t="s">
        <v>1823</v>
      </c>
      <c r="D519" s="2394">
        <v>109.99978</v>
      </c>
    </row>
    <row r="520" spans="2:4" ht="33.75" customHeight="1" x14ac:dyDescent="0.35">
      <c r="B520" s="2488"/>
      <c r="C520" s="2393" t="s">
        <v>1824</v>
      </c>
      <c r="D520" s="2394">
        <v>43.959780000000002</v>
      </c>
    </row>
    <row r="521" spans="2:4" ht="33.75" customHeight="1" x14ac:dyDescent="0.35">
      <c r="B521" s="2488"/>
      <c r="C521" s="2393" t="s">
        <v>1787</v>
      </c>
      <c r="D521" s="2394">
        <v>20.990560000000002</v>
      </c>
    </row>
    <row r="522" spans="2:4" ht="33.75" customHeight="1" x14ac:dyDescent="0.35">
      <c r="B522" s="2488"/>
      <c r="C522" s="2393" t="s">
        <v>1825</v>
      </c>
      <c r="D522" s="2394">
        <v>49.950369999999999</v>
      </c>
    </row>
    <row r="523" spans="2:4" ht="33.75" customHeight="1" x14ac:dyDescent="0.35">
      <c r="B523" s="2488"/>
      <c r="C523" s="2393" t="s">
        <v>1826</v>
      </c>
      <c r="D523" s="2394">
        <v>129.97942</v>
      </c>
    </row>
    <row r="524" spans="2:4" ht="33.75" customHeight="1" x14ac:dyDescent="0.35">
      <c r="B524" s="2488"/>
      <c r="C524" s="2393" t="s">
        <v>1827</v>
      </c>
      <c r="D524" s="2394">
        <v>48.900080000000003</v>
      </c>
    </row>
    <row r="525" spans="2:4" ht="33.75" customHeight="1" x14ac:dyDescent="0.35">
      <c r="B525" s="2488"/>
      <c r="C525" s="2393" t="s">
        <v>1828</v>
      </c>
      <c r="D525" s="2394">
        <v>51.300379999999997</v>
      </c>
    </row>
    <row r="526" spans="2:4" ht="33.75" customHeight="1" x14ac:dyDescent="0.35">
      <c r="B526" s="2488"/>
      <c r="C526" s="2393" t="s">
        <v>1829</v>
      </c>
      <c r="D526" s="2394">
        <v>39.599870000000003</v>
      </c>
    </row>
    <row r="527" spans="2:4" ht="33.75" customHeight="1" x14ac:dyDescent="0.35">
      <c r="B527" s="2488"/>
      <c r="C527" s="2393" t="s">
        <v>1830</v>
      </c>
      <c r="D527" s="2394">
        <v>199.19695999999999</v>
      </c>
    </row>
    <row r="528" spans="2:4" ht="33.75" customHeight="1" x14ac:dyDescent="0.35">
      <c r="B528" s="2488"/>
      <c r="C528" s="2393" t="s">
        <v>1831</v>
      </c>
      <c r="D528" s="2394">
        <v>100.80117</v>
      </c>
    </row>
    <row r="529" spans="2:7" ht="33.75" customHeight="1" x14ac:dyDescent="0.35">
      <c r="B529" s="2488"/>
      <c r="C529" s="2393" t="s">
        <v>1832</v>
      </c>
      <c r="D529" s="2394">
        <v>81.800699999999992</v>
      </c>
    </row>
    <row r="530" spans="2:7" ht="33.75" customHeight="1" x14ac:dyDescent="0.35">
      <c r="B530" s="2488"/>
      <c r="C530" s="2393" t="s">
        <v>1833</v>
      </c>
      <c r="D530" s="2394">
        <v>46.264830000000003</v>
      </c>
    </row>
    <row r="531" spans="2:7" ht="33.75" customHeight="1" x14ac:dyDescent="0.35">
      <c r="B531" s="2488"/>
      <c r="C531" s="2403" t="s">
        <v>1834</v>
      </c>
      <c r="D531" s="2405">
        <v>199.49922000000001</v>
      </c>
    </row>
    <row r="532" spans="2:7" ht="33.75" customHeight="1" x14ac:dyDescent="0.35">
      <c r="B532" s="2488"/>
      <c r="C532" s="2395" t="s">
        <v>1835</v>
      </c>
      <c r="D532" s="2396">
        <v>135.50011000000001</v>
      </c>
    </row>
    <row r="533" spans="2:7" ht="33.75" customHeight="1" x14ac:dyDescent="0.35">
      <c r="B533" s="2488"/>
      <c r="C533" s="2395" t="s">
        <v>1836</v>
      </c>
      <c r="D533" s="2396">
        <v>8.9890600000000003</v>
      </c>
    </row>
    <row r="534" spans="2:7" ht="33.75" customHeight="1" x14ac:dyDescent="0.35">
      <c r="B534" s="2488"/>
      <c r="C534" s="2395" t="s">
        <v>1837</v>
      </c>
      <c r="D534" s="2396">
        <v>17.489170000000001</v>
      </c>
    </row>
    <row r="535" spans="2:7" ht="33.75" customHeight="1" x14ac:dyDescent="0.35">
      <c r="B535" s="2488"/>
      <c r="C535" s="2395" t="s">
        <v>1838</v>
      </c>
      <c r="D535" s="2396">
        <v>42.000169999999997</v>
      </c>
    </row>
    <row r="536" spans="2:7" ht="33.75" customHeight="1" x14ac:dyDescent="0.35">
      <c r="B536" s="2488"/>
      <c r="C536" s="2395" t="s">
        <v>1839</v>
      </c>
      <c r="D536" s="2396">
        <v>59.999879999999997</v>
      </c>
    </row>
    <row r="537" spans="2:7" ht="33.75" customHeight="1" x14ac:dyDescent="0.35">
      <c r="B537" s="2488"/>
      <c r="C537" s="2395" t="s">
        <v>1840</v>
      </c>
      <c r="D537" s="2396">
        <v>35.255199999999995</v>
      </c>
    </row>
    <row r="538" spans="2:7" ht="33.75" customHeight="1" x14ac:dyDescent="0.35">
      <c r="B538" s="2488"/>
      <c r="C538" s="2395" t="s">
        <v>1841</v>
      </c>
      <c r="D538" s="2396">
        <v>152.90799999999999</v>
      </c>
    </row>
    <row r="539" spans="2:7" ht="33.75" customHeight="1" x14ac:dyDescent="0.35">
      <c r="B539" s="2488"/>
      <c r="C539" s="2395" t="s">
        <v>1842</v>
      </c>
      <c r="D539" s="2396">
        <v>17.652999999999999</v>
      </c>
    </row>
    <row r="540" spans="2:7" ht="33.75" customHeight="1" x14ac:dyDescent="0.35">
      <c r="B540" s="2488"/>
      <c r="C540" s="2395" t="s">
        <v>1494</v>
      </c>
      <c r="D540" s="2396">
        <v>132</v>
      </c>
    </row>
    <row r="541" spans="2:7" ht="33.75" customHeight="1" x14ac:dyDescent="0.35">
      <c r="B541" s="2488"/>
      <c r="C541" s="2395" t="s">
        <v>1843</v>
      </c>
      <c r="D541" s="2396">
        <v>99.598479999999995</v>
      </c>
    </row>
    <row r="542" spans="2:7" ht="33.75" customHeight="1" thickBot="1" x14ac:dyDescent="0.4">
      <c r="B542" s="2488"/>
      <c r="C542" s="2403" t="s">
        <v>1844</v>
      </c>
      <c r="D542" s="2405">
        <v>15.500350000000001</v>
      </c>
    </row>
    <row r="543" spans="2:7" ht="33.75" customHeight="1" thickBot="1" x14ac:dyDescent="0.45">
      <c r="B543" s="1179" t="s">
        <v>1131</v>
      </c>
      <c r="C543" s="2386"/>
      <c r="D543" s="2496">
        <f>SUM(D493:D542)</f>
        <v>11247.302099999997</v>
      </c>
      <c r="F543" s="1172"/>
      <c r="G543" s="1172"/>
    </row>
    <row r="544" spans="2:7" s="2263" customFormat="1" ht="33.75" customHeight="1" thickBot="1" x14ac:dyDescent="0.45">
      <c r="B544" s="1180" t="s">
        <v>1166</v>
      </c>
      <c r="C544" s="2386"/>
      <c r="D544" s="2496">
        <f>D427+D433+D445+D492+D543</f>
        <v>143927.86610000001</v>
      </c>
      <c r="F544" s="1174"/>
      <c r="G544" s="1174"/>
    </row>
    <row r="545" spans="2:7" s="2263" customFormat="1" ht="33.75" customHeight="1" thickBot="1" x14ac:dyDescent="0.45">
      <c r="B545" s="1181" t="s">
        <v>4</v>
      </c>
      <c r="C545" s="2386"/>
      <c r="D545" s="2496">
        <f>D194</f>
        <v>139676.90399999998</v>
      </c>
      <c r="F545" s="1174"/>
      <c r="G545" s="1174"/>
    </row>
    <row r="546" spans="2:7" s="2263" customFormat="1" ht="33.75" customHeight="1" thickBot="1" x14ac:dyDescent="0.45">
      <c r="B546" s="1182" t="s">
        <v>1167</v>
      </c>
      <c r="C546" s="2390"/>
      <c r="D546" s="2496">
        <f>D544+D545</f>
        <v>283604.77009999997</v>
      </c>
      <c r="F546" s="1174"/>
      <c r="G546" s="1174"/>
    </row>
    <row r="547" spans="2:7" s="2263" customFormat="1" ht="33.75" customHeight="1" x14ac:dyDescent="0.4">
      <c r="B547" s="2825" t="s">
        <v>1168</v>
      </c>
      <c r="C547" s="2400" t="s">
        <v>1845</v>
      </c>
      <c r="D547" s="2399">
        <v>10611</v>
      </c>
      <c r="F547" s="1174"/>
      <c r="G547" s="1174"/>
    </row>
    <row r="548" spans="2:7" s="2263" customFormat="1" ht="33.75" customHeight="1" x14ac:dyDescent="0.4">
      <c r="B548" s="2826"/>
      <c r="C548" s="2395" t="s">
        <v>1846</v>
      </c>
      <c r="D548" s="2396">
        <v>11564</v>
      </c>
      <c r="F548" s="1174"/>
      <c r="G548" s="1174"/>
    </row>
    <row r="549" spans="2:7" s="2263" customFormat="1" ht="33.75" customHeight="1" x14ac:dyDescent="0.4">
      <c r="B549" s="2826"/>
      <c r="C549" s="2395" t="s">
        <v>1847</v>
      </c>
      <c r="D549" s="2396">
        <v>6613</v>
      </c>
      <c r="F549" s="1174"/>
      <c r="G549" s="1174"/>
    </row>
    <row r="550" spans="2:7" s="2263" customFormat="1" ht="33.75" customHeight="1" x14ac:dyDescent="0.4">
      <c r="B550" s="2826"/>
      <c r="C550" s="2395" t="s">
        <v>1848</v>
      </c>
      <c r="D550" s="2396">
        <v>368</v>
      </c>
      <c r="F550" s="1174"/>
      <c r="G550" s="1174"/>
    </row>
    <row r="551" spans="2:7" s="2263" customFormat="1" ht="33.75" customHeight="1" x14ac:dyDescent="0.4">
      <c r="B551" s="2826"/>
      <c r="C551" s="2395" t="s">
        <v>1849</v>
      </c>
      <c r="D551" s="2396">
        <v>7760</v>
      </c>
      <c r="F551" s="1174"/>
      <c r="G551" s="1174"/>
    </row>
    <row r="552" spans="2:7" s="2263" customFormat="1" ht="33.75" customHeight="1" x14ac:dyDescent="0.4">
      <c r="B552" s="2826"/>
      <c r="C552" s="2395" t="s">
        <v>1169</v>
      </c>
      <c r="D552" s="2396">
        <v>10091</v>
      </c>
      <c r="F552" s="1174"/>
      <c r="G552" s="1174"/>
    </row>
    <row r="553" spans="2:7" s="2263" customFormat="1" ht="33.75" customHeight="1" x14ac:dyDescent="0.4">
      <c r="B553" s="2826"/>
      <c r="C553" s="2395" t="s">
        <v>1850</v>
      </c>
      <c r="D553" s="2396">
        <v>794</v>
      </c>
      <c r="F553" s="1174"/>
      <c r="G553" s="1174"/>
    </row>
    <row r="554" spans="2:7" s="2263" customFormat="1" ht="33.75" customHeight="1" x14ac:dyDescent="0.4">
      <c r="B554" s="2826"/>
      <c r="C554" s="2395" t="s">
        <v>1171</v>
      </c>
      <c r="D554" s="2396">
        <v>1068</v>
      </c>
      <c r="F554" s="1174"/>
      <c r="G554" s="1174"/>
    </row>
    <row r="555" spans="2:7" s="2263" customFormat="1" ht="33.75" customHeight="1" x14ac:dyDescent="0.4">
      <c r="B555" s="2826"/>
      <c r="C555" s="2395" t="s">
        <v>1170</v>
      </c>
      <c r="D555" s="2396">
        <v>4299</v>
      </c>
      <c r="F555" s="1174"/>
      <c r="G555" s="1174"/>
    </row>
    <row r="556" spans="2:7" s="2263" customFormat="1" ht="33.75" customHeight="1" x14ac:dyDescent="0.4">
      <c r="B556" s="2826"/>
      <c r="C556" s="2395" t="s">
        <v>1172</v>
      </c>
      <c r="D556" s="2396">
        <v>9554</v>
      </c>
      <c r="F556" s="1174"/>
      <c r="G556" s="1174"/>
    </row>
    <row r="557" spans="2:7" s="2263" customFormat="1" ht="33.75" customHeight="1" x14ac:dyDescent="0.4">
      <c r="B557" s="2826"/>
      <c r="C557" s="2395" t="s">
        <v>1173</v>
      </c>
      <c r="D557" s="2396">
        <v>899</v>
      </c>
      <c r="F557" s="1174"/>
      <c r="G557" s="1174"/>
    </row>
    <row r="558" spans="2:7" s="2263" customFormat="1" ht="33.75" customHeight="1" thickBot="1" x14ac:dyDescent="0.45">
      <c r="B558" s="2827"/>
      <c r="C558" s="2395" t="s">
        <v>1851</v>
      </c>
      <c r="D558" s="2396">
        <v>11417</v>
      </c>
      <c r="F558" s="1174"/>
      <c r="G558" s="1174"/>
    </row>
    <row r="559" spans="2:7" s="2263" customFormat="1" ht="33.75" customHeight="1" thickBot="1" x14ac:dyDescent="0.45">
      <c r="B559" s="2283" t="s">
        <v>1174</v>
      </c>
      <c r="C559" s="2391"/>
      <c r="D559" s="2496">
        <f>SUM(D547:D558)</f>
        <v>75038</v>
      </c>
      <c r="F559" s="1174"/>
      <c r="G559" s="1174"/>
    </row>
    <row r="560" spans="2:7" s="2263" customFormat="1" ht="33.75" customHeight="1" thickBot="1" x14ac:dyDescent="0.45">
      <c r="B560" s="1180" t="s">
        <v>1175</v>
      </c>
      <c r="C560" s="2392"/>
      <c r="D560" s="2434"/>
      <c r="F560" s="1174"/>
      <c r="G560" s="1174"/>
    </row>
    <row r="561" spans="2:6" ht="33.75" customHeight="1" x14ac:dyDescent="0.35">
      <c r="B561" s="2489" t="s">
        <v>1175</v>
      </c>
      <c r="C561" s="2409" t="s">
        <v>1852</v>
      </c>
      <c r="D561" s="2399">
        <v>250.82499999999999</v>
      </c>
    </row>
    <row r="562" spans="2:6" ht="33.75" customHeight="1" x14ac:dyDescent="0.35">
      <c r="B562" s="2490"/>
      <c r="C562" s="2429" t="s">
        <v>1183</v>
      </c>
      <c r="D562" s="2396">
        <v>284.70400000000001</v>
      </c>
    </row>
    <row r="563" spans="2:6" ht="33.75" customHeight="1" x14ac:dyDescent="0.35">
      <c r="B563" s="2490"/>
      <c r="C563" s="2429" t="s">
        <v>1853</v>
      </c>
      <c r="D563" s="2396">
        <v>199.99199999999999</v>
      </c>
      <c r="F563" s="2284"/>
    </row>
    <row r="564" spans="2:6" ht="33.75" customHeight="1" x14ac:dyDescent="0.35">
      <c r="B564" s="2490"/>
      <c r="C564" s="2429" t="s">
        <v>1854</v>
      </c>
      <c r="D564" s="2396">
        <v>27.305</v>
      </c>
    </row>
    <row r="565" spans="2:6" ht="33.75" customHeight="1" x14ac:dyDescent="0.35">
      <c r="B565" s="2490"/>
      <c r="C565" s="2429" t="s">
        <v>1855</v>
      </c>
      <c r="D565" s="2396">
        <v>13.8</v>
      </c>
    </row>
    <row r="566" spans="2:6" ht="33.75" customHeight="1" x14ac:dyDescent="0.35">
      <c r="B566" s="2490"/>
      <c r="C566" s="2429" t="s">
        <v>1856</v>
      </c>
      <c r="D566" s="2396">
        <v>159.96</v>
      </c>
    </row>
    <row r="567" spans="2:6" ht="33.75" customHeight="1" x14ac:dyDescent="0.35">
      <c r="B567" s="2490"/>
      <c r="C567" s="2429" t="s">
        <v>1857</v>
      </c>
      <c r="D567" s="2396">
        <v>115.24</v>
      </c>
    </row>
    <row r="568" spans="2:6" ht="33.75" customHeight="1" x14ac:dyDescent="0.35">
      <c r="B568" s="2490"/>
      <c r="C568" s="2429" t="s">
        <v>1858</v>
      </c>
      <c r="D568" s="2396">
        <v>453.5</v>
      </c>
    </row>
    <row r="569" spans="2:6" ht="33.75" customHeight="1" x14ac:dyDescent="0.35">
      <c r="B569" s="2490"/>
      <c r="C569" s="2435" t="s">
        <v>1859</v>
      </c>
      <c r="D569" s="2432">
        <v>74.998000000000005</v>
      </c>
    </row>
    <row r="570" spans="2:6" ht="33.75" customHeight="1" x14ac:dyDescent="0.35">
      <c r="B570" s="2489" t="s">
        <v>1860</v>
      </c>
      <c r="C570" s="2435" t="s">
        <v>1861</v>
      </c>
      <c r="D570" s="2432">
        <v>786.72</v>
      </c>
    </row>
    <row r="571" spans="2:6" ht="33.75" customHeight="1" x14ac:dyDescent="0.35">
      <c r="B571" s="2490"/>
      <c r="C571" s="2435" t="s">
        <v>1862</v>
      </c>
      <c r="D571" s="2432">
        <v>90</v>
      </c>
    </row>
    <row r="572" spans="2:6" ht="33.75" customHeight="1" x14ac:dyDescent="0.35">
      <c r="B572" s="2490"/>
      <c r="C572" s="2435" t="s">
        <v>1863</v>
      </c>
      <c r="D572" s="2432">
        <v>860.952</v>
      </c>
    </row>
    <row r="573" spans="2:6" ht="33.75" customHeight="1" x14ac:dyDescent="0.35">
      <c r="B573" s="2490"/>
      <c r="C573" s="2435" t="s">
        <v>1864</v>
      </c>
      <c r="D573" s="2432">
        <v>406.4</v>
      </c>
    </row>
    <row r="574" spans="2:6" ht="33.75" customHeight="1" x14ac:dyDescent="0.35">
      <c r="B574" s="2490"/>
      <c r="C574" s="2436" t="s">
        <v>1865</v>
      </c>
      <c r="D574" s="2437">
        <v>73.914000000000001</v>
      </c>
    </row>
    <row r="575" spans="2:6" ht="33.75" customHeight="1" x14ac:dyDescent="0.35">
      <c r="B575" s="2490"/>
      <c r="C575" s="2436" t="s">
        <v>1866</v>
      </c>
      <c r="D575" s="2437">
        <v>128</v>
      </c>
    </row>
    <row r="576" spans="2:6" ht="33.75" customHeight="1" thickBot="1" x14ac:dyDescent="0.4">
      <c r="B576" s="2491"/>
      <c r="C576" s="2438" t="s">
        <v>1188</v>
      </c>
      <c r="D576" s="2439">
        <v>36.494</v>
      </c>
    </row>
    <row r="577" spans="2:7" ht="33.75" customHeight="1" thickBot="1" x14ac:dyDescent="0.45">
      <c r="B577" s="2283" t="s">
        <v>1174</v>
      </c>
      <c r="C577" s="2386"/>
      <c r="D577" s="2496">
        <f>SUM(D561:D576)</f>
        <v>3962.8040000000005</v>
      </c>
      <c r="F577" s="1172"/>
      <c r="G577" s="1172"/>
    </row>
    <row r="578" spans="2:7" ht="33.75" customHeight="1" thickBot="1" x14ac:dyDescent="0.45">
      <c r="B578" s="1180" t="s">
        <v>261</v>
      </c>
      <c r="C578" s="2285"/>
      <c r="D578" s="2497">
        <f>D546+D577+D559</f>
        <v>362605.57409999997</v>
      </c>
      <c r="F578" s="1172"/>
      <c r="G578" s="1172"/>
    </row>
    <row r="579" spans="2:7" ht="33.75" customHeight="1" x14ac:dyDescent="0.35">
      <c r="B579" s="2451"/>
      <c r="C579" s="2286"/>
      <c r="D579" s="2446"/>
    </row>
  </sheetData>
  <mergeCells count="28">
    <mergeCell ref="B58:B62"/>
    <mergeCell ref="B3:D3"/>
    <mergeCell ref="B4:D4"/>
    <mergeCell ref="B27:B30"/>
    <mergeCell ref="B40:B45"/>
    <mergeCell ref="B49:B51"/>
    <mergeCell ref="B165:B166"/>
    <mergeCell ref="B63:B65"/>
    <mergeCell ref="B66:B68"/>
    <mergeCell ref="B69:B73"/>
    <mergeCell ref="B77:B80"/>
    <mergeCell ref="B83:B88"/>
    <mergeCell ref="B145:B147"/>
    <mergeCell ref="B148:B151"/>
    <mergeCell ref="B152:B153"/>
    <mergeCell ref="B155:B157"/>
    <mergeCell ref="B158:B160"/>
    <mergeCell ref="B161:B164"/>
    <mergeCell ref="B188:B190"/>
    <mergeCell ref="B191:B192"/>
    <mergeCell ref="B493:B496"/>
    <mergeCell ref="B547:B558"/>
    <mergeCell ref="B167:B170"/>
    <mergeCell ref="B171:B173"/>
    <mergeCell ref="B174:B175"/>
    <mergeCell ref="B176:B179"/>
    <mergeCell ref="B180:B183"/>
    <mergeCell ref="B184:B1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&amp;R&amp;"Arial,Félkövér"&amp;26 29. melléklet</oddHeader>
  </headerFooter>
  <rowBreaks count="9" manualBreakCount="9">
    <brk id="65" min="1" max="3" man="1"/>
    <brk id="132" min="1" max="3" man="1"/>
    <brk id="194" min="1" max="3" man="1"/>
    <brk id="261" min="1" max="3" man="1"/>
    <brk id="328" min="1" max="3" man="1"/>
    <brk id="388" min="1" max="3" man="1"/>
    <brk id="427" min="1" max="3" man="1"/>
    <brk id="492" min="1" max="3" man="1"/>
    <brk id="5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zoomScale="75" zoomScaleNormal="75" zoomScaleSheetLayoutView="75" workbookViewId="0">
      <selection activeCell="B1" sqref="B1:F1"/>
    </sheetView>
  </sheetViews>
  <sheetFormatPr defaultRowHeight="21" customHeight="1" x14ac:dyDescent="0.3"/>
  <cols>
    <col min="1" max="1" width="29.5" style="12" customWidth="1"/>
    <col min="2" max="2" width="5" style="421" customWidth="1"/>
    <col min="3" max="3" width="5.6640625" style="421" customWidth="1"/>
    <col min="4" max="5" width="2.33203125" style="421" customWidth="1"/>
    <col min="6" max="6" width="155.83203125" style="421" customWidth="1"/>
    <col min="7" max="9" width="25.83203125" style="421" customWidth="1"/>
    <col min="10" max="10" width="22.1640625" style="421" customWidth="1"/>
    <col min="11" max="11" width="19.33203125" style="6" customWidth="1"/>
    <col min="12" max="12" width="16.6640625" style="6" bestFit="1" customWidth="1"/>
    <col min="13" max="13" width="9.5" style="6" bestFit="1" customWidth="1"/>
    <col min="14" max="14" width="25.5" style="489" bestFit="1" customWidth="1"/>
    <col min="15" max="15" width="37.83203125" style="490" customWidth="1"/>
    <col min="16" max="16" width="24.1640625" style="490" customWidth="1"/>
    <col min="17" max="17" width="10.1640625" style="490" bestFit="1" customWidth="1"/>
    <col min="18" max="18" width="9.33203125" style="12"/>
    <col min="19" max="19" width="16.83203125" style="12" bestFit="1" customWidth="1"/>
    <col min="20" max="16384" width="9.33203125" style="12"/>
  </cols>
  <sheetData>
    <row r="1" spans="1:17" ht="21" customHeight="1" x14ac:dyDescent="0.3">
      <c r="B1" s="2605"/>
      <c r="C1" s="2605"/>
      <c r="D1" s="2605"/>
      <c r="E1" s="2605"/>
      <c r="F1" s="2605"/>
    </row>
    <row r="2" spans="1:17" ht="24.75" customHeight="1" x14ac:dyDescent="0.4">
      <c r="B2" s="2610" t="s">
        <v>492</v>
      </c>
      <c r="C2" s="2610"/>
      <c r="D2" s="2610"/>
      <c r="E2" s="2610"/>
      <c r="F2" s="2610"/>
      <c r="G2" s="2610"/>
      <c r="H2" s="2610"/>
      <c r="I2" s="2610"/>
      <c r="J2" s="2610"/>
    </row>
    <row r="3" spans="1:17" ht="24.75" customHeight="1" x14ac:dyDescent="0.3">
      <c r="B3" s="419"/>
      <c r="C3" s="419"/>
      <c r="D3" s="419"/>
      <c r="E3" s="419"/>
      <c r="F3" s="419"/>
    </row>
    <row r="4" spans="1:17" ht="24.75" customHeight="1" thickBot="1" x14ac:dyDescent="0.35">
      <c r="C4" s="422"/>
      <c r="D4" s="422"/>
      <c r="E4" s="422"/>
      <c r="F4" s="423"/>
      <c r="J4" s="146" t="s">
        <v>38</v>
      </c>
    </row>
    <row r="5" spans="1:17" ht="29.25" customHeight="1" x14ac:dyDescent="0.3">
      <c r="B5" s="1327"/>
      <c r="C5" s="1328"/>
      <c r="D5" s="1328"/>
      <c r="E5" s="1328"/>
      <c r="F5" s="1329" t="s">
        <v>59</v>
      </c>
      <c r="G5" s="2611" t="s">
        <v>173</v>
      </c>
      <c r="H5" s="2612"/>
      <c r="I5" s="1330" t="s">
        <v>608</v>
      </c>
      <c r="J5" s="1331" t="s">
        <v>206</v>
      </c>
    </row>
    <row r="6" spans="1:17" ht="29.25" customHeight="1" thickBot="1" x14ac:dyDescent="0.35">
      <c r="B6" s="1332"/>
      <c r="C6" s="1333"/>
      <c r="D6" s="1333"/>
      <c r="E6" s="1333"/>
      <c r="F6" s="1334"/>
      <c r="G6" s="1335" t="s">
        <v>406</v>
      </c>
      <c r="H6" s="1336" t="s">
        <v>204</v>
      </c>
      <c r="I6" s="1337" t="s">
        <v>205</v>
      </c>
      <c r="J6" s="1338" t="s">
        <v>207</v>
      </c>
    </row>
    <row r="7" spans="1:17" ht="29.25" customHeight="1" x14ac:dyDescent="0.3">
      <c r="B7" s="1339" t="s">
        <v>496</v>
      </c>
      <c r="C7" s="1340"/>
      <c r="D7" s="1341"/>
      <c r="E7" s="1341"/>
      <c r="F7" s="1342"/>
      <c r="G7" s="1343"/>
      <c r="H7" s="1344"/>
      <c r="I7" s="1343"/>
      <c r="J7" s="1520"/>
    </row>
    <row r="8" spans="1:17" s="187" customFormat="1" ht="29.25" customHeight="1" thickBot="1" x14ac:dyDescent="0.35">
      <c r="B8" s="1521"/>
      <c r="C8" s="1346" t="s">
        <v>219</v>
      </c>
      <c r="D8" s="1347"/>
      <c r="E8" s="1347"/>
      <c r="F8" s="1348"/>
      <c r="G8" s="1349">
        <f>+G9+G11+G12+G17+G28+G33</f>
        <v>3048099</v>
      </c>
      <c r="H8" s="1350">
        <f>+H9+H11+H12+H17+H28+H33</f>
        <v>3441424</v>
      </c>
      <c r="I8" s="1349">
        <f>+I9+I11+I12+I17+I28+I33</f>
        <v>3441424</v>
      </c>
      <c r="J8" s="1522">
        <f t="shared" ref="J8:J15" si="0">+I8/H8*100</f>
        <v>100</v>
      </c>
      <c r="K8" s="335"/>
      <c r="L8" s="335"/>
      <c r="M8" s="335"/>
      <c r="N8" s="491"/>
      <c r="O8" s="492"/>
      <c r="P8" s="492"/>
      <c r="Q8" s="492"/>
    </row>
    <row r="9" spans="1:17" s="187" customFormat="1" ht="29.25" customHeight="1" x14ac:dyDescent="0.3">
      <c r="A9" s="431"/>
      <c r="B9" s="1345"/>
      <c r="C9" s="1351" t="s">
        <v>221</v>
      </c>
      <c r="D9" s="1352"/>
      <c r="E9" s="1352"/>
      <c r="F9" s="1353"/>
      <c r="G9" s="1354">
        <v>40</v>
      </c>
      <c r="H9" s="1357">
        <v>6942</v>
      </c>
      <c r="I9" s="1358">
        <v>6942</v>
      </c>
      <c r="J9" s="1359">
        <f t="shared" si="0"/>
        <v>100</v>
      </c>
      <c r="K9" s="335"/>
      <c r="L9" s="335"/>
      <c r="M9" s="335"/>
      <c r="N9" s="493"/>
      <c r="O9" s="494"/>
      <c r="P9" s="493"/>
      <c r="Q9" s="492"/>
    </row>
    <row r="10" spans="1:17" s="187" customFormat="1" ht="29.25" customHeight="1" x14ac:dyDescent="0.3">
      <c r="A10" s="431"/>
      <c r="B10" s="1345"/>
      <c r="C10" s="1355"/>
      <c r="D10" s="1352"/>
      <c r="E10" s="1352"/>
      <c r="F10" s="1356" t="s">
        <v>264</v>
      </c>
      <c r="G10" s="1354"/>
      <c r="H10" s="1357">
        <v>6902</v>
      </c>
      <c r="I10" s="1358">
        <v>6902</v>
      </c>
      <c r="J10" s="1359">
        <f t="shared" si="0"/>
        <v>100</v>
      </c>
      <c r="K10" s="335"/>
      <c r="L10" s="335"/>
      <c r="M10" s="335"/>
      <c r="N10" s="493"/>
      <c r="O10" s="494"/>
      <c r="P10" s="493"/>
      <c r="Q10" s="492"/>
    </row>
    <row r="11" spans="1:17" s="187" customFormat="1" ht="29.25" customHeight="1" x14ac:dyDescent="0.3">
      <c r="A11" s="431"/>
      <c r="B11" s="1345"/>
      <c r="C11" s="1355" t="s">
        <v>222</v>
      </c>
      <c r="D11" s="1352"/>
      <c r="E11" s="1352"/>
      <c r="F11" s="1353"/>
      <c r="G11" s="1354">
        <v>1441659</v>
      </c>
      <c r="H11" s="1357">
        <v>1457149</v>
      </c>
      <c r="I11" s="1358">
        <v>1457149</v>
      </c>
      <c r="J11" s="1359">
        <f t="shared" si="0"/>
        <v>100</v>
      </c>
      <c r="K11" s="335"/>
      <c r="L11" s="335"/>
      <c r="M11" s="335"/>
      <c r="N11" s="493"/>
      <c r="O11" s="494"/>
      <c r="P11" s="493"/>
      <c r="Q11" s="492"/>
    </row>
    <row r="12" spans="1:17" s="187" customFormat="1" ht="51" customHeight="1" x14ac:dyDescent="0.3">
      <c r="A12" s="431"/>
      <c r="B12" s="1345"/>
      <c r="C12" s="2606" t="s">
        <v>69</v>
      </c>
      <c r="D12" s="2607"/>
      <c r="E12" s="2607"/>
      <c r="F12" s="2608"/>
      <c r="G12" s="1354">
        <v>734447</v>
      </c>
      <c r="H12" s="1357">
        <v>927995</v>
      </c>
      <c r="I12" s="1358">
        <v>927995</v>
      </c>
      <c r="J12" s="1359">
        <f t="shared" si="0"/>
        <v>100</v>
      </c>
      <c r="K12" s="335"/>
      <c r="L12" s="335"/>
      <c r="M12" s="335"/>
      <c r="N12" s="493"/>
      <c r="O12" s="494"/>
      <c r="P12" s="494"/>
      <c r="Q12" s="492"/>
    </row>
    <row r="13" spans="1:17" s="187" customFormat="1" ht="29.25" customHeight="1" x14ac:dyDescent="0.3">
      <c r="B13" s="1345"/>
      <c r="C13" s="1355"/>
      <c r="D13" s="1352"/>
      <c r="E13" s="1352"/>
      <c r="F13" s="1360" t="s">
        <v>245</v>
      </c>
      <c r="G13" s="1361"/>
      <c r="H13" s="1357">
        <v>6817</v>
      </c>
      <c r="I13" s="1358">
        <v>6817</v>
      </c>
      <c r="J13" s="1359">
        <f t="shared" si="0"/>
        <v>100</v>
      </c>
      <c r="K13" s="335"/>
      <c r="L13" s="335"/>
      <c r="M13" s="335"/>
      <c r="N13" s="493"/>
      <c r="O13" s="494"/>
      <c r="P13" s="494"/>
      <c r="Q13" s="492"/>
    </row>
    <row r="14" spans="1:17" s="187" customFormat="1" ht="29.25" customHeight="1" x14ac:dyDescent="0.3">
      <c r="B14" s="1345"/>
      <c r="C14" s="1355"/>
      <c r="D14" s="1352"/>
      <c r="E14" s="1352"/>
      <c r="F14" s="1356" t="s">
        <v>246</v>
      </c>
      <c r="G14" s="1361"/>
      <c r="H14" s="1357">
        <v>43328</v>
      </c>
      <c r="I14" s="1358">
        <v>43328</v>
      </c>
      <c r="J14" s="1359">
        <f t="shared" si="0"/>
        <v>100</v>
      </c>
      <c r="K14" s="335"/>
      <c r="L14" s="335"/>
      <c r="M14" s="335"/>
      <c r="N14" s="493"/>
      <c r="O14" s="494"/>
      <c r="P14" s="494"/>
      <c r="Q14" s="492"/>
    </row>
    <row r="15" spans="1:17" s="187" customFormat="1" ht="51" customHeight="1" x14ac:dyDescent="0.3">
      <c r="B15" s="1345"/>
      <c r="C15" s="1355"/>
      <c r="D15" s="1352"/>
      <c r="E15" s="1352"/>
      <c r="F15" s="1362" t="s">
        <v>528</v>
      </c>
      <c r="G15" s="1361"/>
      <c r="H15" s="1357">
        <v>50845</v>
      </c>
      <c r="I15" s="1358">
        <v>50845</v>
      </c>
      <c r="J15" s="1359">
        <f t="shared" si="0"/>
        <v>100</v>
      </c>
      <c r="K15" s="335"/>
      <c r="L15" s="335"/>
      <c r="M15" s="335"/>
      <c r="N15" s="493"/>
      <c r="O15" s="494"/>
      <c r="P15" s="494"/>
      <c r="Q15" s="492"/>
    </row>
    <row r="16" spans="1:17" s="187" customFormat="1" ht="29.25" customHeight="1" x14ac:dyDescent="0.3">
      <c r="B16" s="1345"/>
      <c r="C16" s="1355"/>
      <c r="D16" s="1352"/>
      <c r="E16" s="1352"/>
      <c r="F16" s="1356" t="s">
        <v>555</v>
      </c>
      <c r="G16" s="1361"/>
      <c r="H16" s="1357">
        <v>75933</v>
      </c>
      <c r="I16" s="1358">
        <v>75933</v>
      </c>
      <c r="J16" s="1363">
        <f t="shared" ref="J16:J22" si="1">+I16/H16*100</f>
        <v>100</v>
      </c>
      <c r="K16" s="335"/>
      <c r="L16" s="335"/>
      <c r="M16" s="335"/>
      <c r="N16" s="493"/>
      <c r="O16" s="494"/>
      <c r="P16" s="494"/>
      <c r="Q16" s="492"/>
    </row>
    <row r="17" spans="1:17" s="187" customFormat="1" ht="29.25" customHeight="1" x14ac:dyDescent="0.3">
      <c r="B17" s="1345"/>
      <c r="C17" s="495" t="s">
        <v>223</v>
      </c>
      <c r="D17" s="1364"/>
      <c r="E17" s="1364"/>
      <c r="F17" s="1365"/>
      <c r="G17" s="1361">
        <f>SUM(G18:G27)</f>
        <v>871953</v>
      </c>
      <c r="H17" s="1366">
        <f>SUM(H18:H27)</f>
        <v>874768</v>
      </c>
      <c r="I17" s="1367">
        <f>SUM(I18:I27)</f>
        <v>874768</v>
      </c>
      <c r="J17" s="1363">
        <f t="shared" si="1"/>
        <v>100</v>
      </c>
      <c r="K17" s="335"/>
      <c r="L17" s="335"/>
      <c r="M17" s="335"/>
      <c r="N17" s="493"/>
      <c r="O17" s="494"/>
      <c r="P17" s="494"/>
      <c r="Q17" s="492"/>
    </row>
    <row r="18" spans="1:17" ht="29.25" customHeight="1" x14ac:dyDescent="0.3">
      <c r="A18" s="29"/>
      <c r="B18" s="1368"/>
      <c r="C18" s="497"/>
      <c r="D18" s="1369" t="s">
        <v>497</v>
      </c>
      <c r="E18" s="1370"/>
      <c r="F18" s="1371"/>
      <c r="G18" s="1372">
        <v>127300</v>
      </c>
      <c r="H18" s="1373">
        <v>127300</v>
      </c>
      <c r="I18" s="1374">
        <v>127300</v>
      </c>
      <c r="J18" s="1359">
        <f t="shared" si="1"/>
        <v>100</v>
      </c>
      <c r="K18" s="455"/>
      <c r="L18" s="335"/>
      <c r="N18" s="493"/>
      <c r="O18" s="494"/>
      <c r="P18" s="493"/>
    </row>
    <row r="19" spans="1:17" ht="29.25" customHeight="1" x14ac:dyDescent="0.3">
      <c r="A19" s="29"/>
      <c r="B19" s="1368"/>
      <c r="C19" s="497"/>
      <c r="D19" s="1369" t="s">
        <v>498</v>
      </c>
      <c r="E19" s="1370"/>
      <c r="F19" s="1371"/>
      <c r="G19" s="1372">
        <v>84900</v>
      </c>
      <c r="H19" s="1373">
        <v>84900</v>
      </c>
      <c r="I19" s="1374">
        <v>84900</v>
      </c>
      <c r="J19" s="1359">
        <f t="shared" si="1"/>
        <v>100</v>
      </c>
      <c r="K19" s="455"/>
      <c r="L19" s="335"/>
      <c r="N19" s="493"/>
      <c r="O19" s="494"/>
      <c r="P19" s="493"/>
    </row>
    <row r="20" spans="1:17" ht="29.25" customHeight="1" x14ac:dyDescent="0.3">
      <c r="A20" s="29"/>
      <c r="B20" s="1368"/>
      <c r="C20" s="497"/>
      <c r="D20" s="1369" t="s">
        <v>499</v>
      </c>
      <c r="E20" s="1370"/>
      <c r="F20" s="1371"/>
      <c r="G20" s="1372">
        <v>39900</v>
      </c>
      <c r="H20" s="1373">
        <v>39900</v>
      </c>
      <c r="I20" s="1374">
        <v>39900</v>
      </c>
      <c r="J20" s="1359">
        <f t="shared" si="1"/>
        <v>100</v>
      </c>
      <c r="K20" s="455"/>
      <c r="L20" s="335"/>
      <c r="N20" s="493"/>
      <c r="O20" s="494"/>
      <c r="P20" s="493"/>
    </row>
    <row r="21" spans="1:17" ht="29.25" customHeight="1" x14ac:dyDescent="0.3">
      <c r="A21" s="29"/>
      <c r="B21" s="1368"/>
      <c r="C21" s="497"/>
      <c r="D21" s="1369" t="s">
        <v>523</v>
      </c>
      <c r="E21" s="1370"/>
      <c r="F21" s="1371"/>
      <c r="G21" s="1372">
        <v>26600</v>
      </c>
      <c r="H21" s="1373">
        <v>26600</v>
      </c>
      <c r="I21" s="1374">
        <v>26600</v>
      </c>
      <c r="J21" s="1359">
        <f t="shared" si="1"/>
        <v>100</v>
      </c>
      <c r="K21" s="455"/>
      <c r="L21" s="335"/>
      <c r="N21" s="493"/>
      <c r="O21" s="494"/>
      <c r="P21" s="493"/>
    </row>
    <row r="22" spans="1:17" ht="29.25" customHeight="1" x14ac:dyDescent="0.3">
      <c r="A22" s="29"/>
      <c r="B22" s="1368"/>
      <c r="C22" s="497"/>
      <c r="D22" s="1370" t="s">
        <v>524</v>
      </c>
      <c r="E22" s="1370"/>
      <c r="F22" s="1371"/>
      <c r="G22" s="1375">
        <v>164400</v>
      </c>
      <c r="H22" s="1376">
        <v>164400</v>
      </c>
      <c r="I22" s="1377">
        <v>164400</v>
      </c>
      <c r="J22" s="1359">
        <f t="shared" si="1"/>
        <v>100</v>
      </c>
      <c r="K22" s="455"/>
      <c r="L22" s="335"/>
      <c r="N22" s="493"/>
      <c r="O22" s="494"/>
      <c r="P22" s="493"/>
    </row>
    <row r="23" spans="1:17" ht="51" customHeight="1" x14ac:dyDescent="0.3">
      <c r="A23" s="29"/>
      <c r="B23" s="1368"/>
      <c r="C23" s="497"/>
      <c r="D23" s="2587" t="s">
        <v>450</v>
      </c>
      <c r="E23" s="2587"/>
      <c r="F23" s="2613"/>
      <c r="G23" s="1372">
        <v>139800</v>
      </c>
      <c r="H23" s="1373">
        <v>139800</v>
      </c>
      <c r="I23" s="1374">
        <v>139800</v>
      </c>
      <c r="J23" s="1359">
        <f t="shared" ref="J23:J28" si="2">+I23/H23*100</f>
        <v>100</v>
      </c>
      <c r="K23" s="455"/>
      <c r="L23" s="335"/>
      <c r="N23" s="493"/>
      <c r="O23" s="494"/>
      <c r="P23" s="493"/>
    </row>
    <row r="24" spans="1:17" ht="51" customHeight="1" x14ac:dyDescent="0.3">
      <c r="A24" s="29"/>
      <c r="B24" s="1368"/>
      <c r="C24" s="497"/>
      <c r="D24" s="2587" t="s">
        <v>451</v>
      </c>
      <c r="E24" s="2587"/>
      <c r="F24" s="2613"/>
      <c r="G24" s="1374">
        <v>119400</v>
      </c>
      <c r="H24" s="1373">
        <v>119400</v>
      </c>
      <c r="I24" s="1374">
        <v>119400</v>
      </c>
      <c r="J24" s="1359">
        <f t="shared" si="2"/>
        <v>100</v>
      </c>
      <c r="K24" s="455"/>
      <c r="L24" s="335"/>
      <c r="N24" s="493"/>
      <c r="O24" s="494"/>
      <c r="P24" s="493"/>
    </row>
    <row r="25" spans="1:17" ht="29.25" customHeight="1" x14ac:dyDescent="0.3">
      <c r="A25" s="29"/>
      <c r="B25" s="1368"/>
      <c r="C25" s="497"/>
      <c r="D25" s="1370" t="s">
        <v>452</v>
      </c>
      <c r="E25" s="1370"/>
      <c r="F25" s="1371"/>
      <c r="G25" s="1372">
        <v>138587</v>
      </c>
      <c r="H25" s="1373">
        <v>138587</v>
      </c>
      <c r="I25" s="1374">
        <v>138587</v>
      </c>
      <c r="J25" s="1359">
        <f t="shared" si="2"/>
        <v>100</v>
      </c>
      <c r="K25" s="455"/>
      <c r="L25" s="335"/>
      <c r="N25" s="493"/>
      <c r="O25" s="494"/>
      <c r="P25" s="493"/>
    </row>
    <row r="26" spans="1:17" ht="29.25" customHeight="1" x14ac:dyDescent="0.3">
      <c r="A26" s="29"/>
      <c r="B26" s="1368"/>
      <c r="C26" s="497"/>
      <c r="D26" s="1370" t="s">
        <v>453</v>
      </c>
      <c r="E26" s="1370"/>
      <c r="F26" s="1371"/>
      <c r="G26" s="1372">
        <v>31066</v>
      </c>
      <c r="H26" s="1373">
        <v>31067</v>
      </c>
      <c r="I26" s="1374">
        <v>31067</v>
      </c>
      <c r="J26" s="1359">
        <f t="shared" si="2"/>
        <v>100</v>
      </c>
      <c r="K26" s="455"/>
      <c r="L26" s="335"/>
      <c r="N26" s="493"/>
      <c r="O26" s="494"/>
      <c r="P26" s="493"/>
    </row>
    <row r="27" spans="1:17" ht="29.25" customHeight="1" x14ac:dyDescent="0.3">
      <c r="A27" s="29"/>
      <c r="B27" s="1368"/>
      <c r="C27" s="497"/>
      <c r="D27" s="1374" t="s">
        <v>79</v>
      </c>
      <c r="E27" s="1370"/>
      <c r="F27" s="1371"/>
      <c r="G27" s="1372"/>
      <c r="H27" s="1373">
        <v>2814</v>
      </c>
      <c r="I27" s="1374">
        <v>2814</v>
      </c>
      <c r="J27" s="1359">
        <f t="shared" si="2"/>
        <v>100</v>
      </c>
      <c r="K27" s="455"/>
      <c r="L27" s="335"/>
      <c r="N27" s="493"/>
      <c r="O27" s="494"/>
      <c r="P27" s="494"/>
    </row>
    <row r="28" spans="1:17" s="184" customFormat="1" ht="29.25" customHeight="1" x14ac:dyDescent="0.3">
      <c r="B28" s="1345"/>
      <c r="C28" s="1378" t="s">
        <v>271</v>
      </c>
      <c r="D28" s="1378"/>
      <c r="E28" s="1378"/>
      <c r="F28" s="1379"/>
      <c r="G28" s="1380">
        <f>SUM(G30:G32)</f>
        <v>0</v>
      </c>
      <c r="H28" s="1381">
        <f>SUM(H29:H32)</f>
        <v>158160</v>
      </c>
      <c r="I28" s="1382">
        <f>SUM(I29:I32)</f>
        <v>158160</v>
      </c>
      <c r="J28" s="1383">
        <f t="shared" si="2"/>
        <v>100</v>
      </c>
      <c r="K28" s="358"/>
      <c r="L28" s="335"/>
      <c r="M28" s="358"/>
      <c r="N28" s="493"/>
      <c r="O28" s="494"/>
      <c r="P28" s="494"/>
      <c r="Q28" s="495"/>
    </row>
    <row r="29" spans="1:17" ht="29.25" customHeight="1" x14ac:dyDescent="0.3">
      <c r="A29" s="29"/>
      <c r="B29" s="1368"/>
      <c r="C29" s="1384"/>
      <c r="D29" s="1819" t="s">
        <v>78</v>
      </c>
      <c r="E29" s="1819"/>
      <c r="F29" s="1385"/>
      <c r="G29" s="1375"/>
      <c r="H29" s="1376">
        <v>53085</v>
      </c>
      <c r="I29" s="1386">
        <v>53085</v>
      </c>
      <c r="J29" s="1387">
        <f t="shared" ref="J29:J34" si="3">+I29/H29*100</f>
        <v>100</v>
      </c>
      <c r="K29" s="455"/>
      <c r="L29" s="335"/>
      <c r="N29" s="493"/>
      <c r="O29" s="494"/>
      <c r="P29" s="494"/>
    </row>
    <row r="30" spans="1:17" ht="29.25" customHeight="1" x14ac:dyDescent="0.3">
      <c r="A30" s="29"/>
      <c r="B30" s="1368"/>
      <c r="C30" s="1384"/>
      <c r="D30" s="1388" t="s">
        <v>247</v>
      </c>
      <c r="E30" s="1388"/>
      <c r="F30" s="1389"/>
      <c r="G30" s="1372"/>
      <c r="H30" s="1373">
        <v>9875</v>
      </c>
      <c r="I30" s="1374">
        <v>9875</v>
      </c>
      <c r="J30" s="1359">
        <f t="shared" si="3"/>
        <v>100</v>
      </c>
      <c r="K30" s="455"/>
      <c r="L30" s="335"/>
      <c r="N30" s="493"/>
      <c r="O30" s="494"/>
      <c r="P30" s="494"/>
    </row>
    <row r="31" spans="1:17" ht="29.25" customHeight="1" x14ac:dyDescent="0.3">
      <c r="A31" s="29"/>
      <c r="B31" s="1368"/>
      <c r="C31" s="1384"/>
      <c r="D31" s="1390" t="s">
        <v>273</v>
      </c>
      <c r="E31" s="1391"/>
      <c r="F31" s="1392"/>
      <c r="G31" s="1393"/>
      <c r="H31" s="1394">
        <v>27915</v>
      </c>
      <c r="I31" s="1395">
        <v>27915</v>
      </c>
      <c r="J31" s="1396">
        <f t="shared" si="3"/>
        <v>100</v>
      </c>
      <c r="K31" s="455"/>
      <c r="L31" s="335"/>
      <c r="N31" s="493"/>
      <c r="O31" s="494"/>
      <c r="P31" s="494"/>
    </row>
    <row r="32" spans="1:17" ht="29.25" customHeight="1" x14ac:dyDescent="0.3">
      <c r="A32" s="29"/>
      <c r="B32" s="1368"/>
      <c r="C32" s="1369"/>
      <c r="D32" s="1369" t="s">
        <v>76</v>
      </c>
      <c r="E32" s="1369"/>
      <c r="F32" s="1371"/>
      <c r="G32" s="1375"/>
      <c r="H32" s="1376">
        <v>67285</v>
      </c>
      <c r="I32" s="1377">
        <v>67285</v>
      </c>
      <c r="J32" s="1387">
        <f t="shared" si="3"/>
        <v>100</v>
      </c>
      <c r="K32" s="455"/>
      <c r="L32" s="335"/>
      <c r="N32" s="493"/>
      <c r="O32" s="494"/>
      <c r="P32" s="494"/>
    </row>
    <row r="33" spans="1:17" s="110" customFormat="1" ht="29.25" customHeight="1" x14ac:dyDescent="0.3">
      <c r="A33" s="1326"/>
      <c r="B33" s="1397"/>
      <c r="C33" s="1378" t="s">
        <v>272</v>
      </c>
      <c r="D33" s="1398"/>
      <c r="E33" s="1399"/>
      <c r="F33" s="1400"/>
      <c r="G33" s="1401">
        <f>SUM(G34:G34)</f>
        <v>0</v>
      </c>
      <c r="H33" s="1402">
        <f>SUM(H34:H34)</f>
        <v>16410</v>
      </c>
      <c r="I33" s="1403">
        <f>SUM(I34:I34)</f>
        <v>16410</v>
      </c>
      <c r="J33" s="1383">
        <f t="shared" si="3"/>
        <v>100</v>
      </c>
      <c r="K33" s="182"/>
      <c r="L33" s="335"/>
      <c r="M33" s="182"/>
      <c r="N33" s="493"/>
      <c r="O33" s="494"/>
      <c r="P33" s="494"/>
      <c r="Q33" s="496"/>
    </row>
    <row r="34" spans="1:17" ht="29.25" customHeight="1" thickBot="1" x14ac:dyDescent="0.35">
      <c r="B34" s="1404"/>
      <c r="C34" s="1405" t="s">
        <v>265</v>
      </c>
      <c r="D34" s="1406"/>
      <c r="E34" s="1406"/>
      <c r="F34" s="1407"/>
      <c r="G34" s="1408"/>
      <c r="H34" s="1409">
        <v>16410</v>
      </c>
      <c r="I34" s="1410">
        <v>16410</v>
      </c>
      <c r="J34" s="1411">
        <f t="shared" si="3"/>
        <v>100</v>
      </c>
      <c r="K34" s="520"/>
      <c r="L34" s="519"/>
      <c r="M34" s="519"/>
      <c r="N34" s="521"/>
      <c r="O34" s="494"/>
      <c r="P34" s="493"/>
    </row>
    <row r="35" spans="1:17" ht="29.25" customHeight="1" thickBot="1" x14ac:dyDescent="0.35">
      <c r="B35" s="1412"/>
      <c r="C35" s="1346" t="s">
        <v>235</v>
      </c>
      <c r="D35" s="1333"/>
      <c r="E35" s="1333"/>
      <c r="F35" s="1413"/>
      <c r="G35" s="1414">
        <f>SUM(G36)</f>
        <v>0</v>
      </c>
      <c r="H35" s="1415">
        <f>SUM(H36)</f>
        <v>0</v>
      </c>
      <c r="I35" s="1416">
        <f>SUM(I36)</f>
        <v>0</v>
      </c>
      <c r="J35" s="1417"/>
      <c r="N35" s="493"/>
      <c r="O35" s="494"/>
      <c r="P35" s="493"/>
    </row>
    <row r="36" spans="1:17" ht="29.25" customHeight="1" thickBot="1" x14ac:dyDescent="0.35">
      <c r="B36" s="1404"/>
      <c r="C36" s="1418"/>
      <c r="D36" s="1419"/>
      <c r="E36" s="1419"/>
      <c r="F36" s="1420"/>
      <c r="G36" s="1421"/>
      <c r="H36" s="1422"/>
      <c r="I36" s="1423"/>
      <c r="J36" s="1424"/>
      <c r="N36" s="493"/>
      <c r="O36" s="494"/>
      <c r="P36" s="493"/>
    </row>
    <row r="37" spans="1:17" ht="51" customHeight="1" thickBot="1" x14ac:dyDescent="0.35">
      <c r="B37" s="1412"/>
      <c r="C37" s="2614" t="s">
        <v>234</v>
      </c>
      <c r="D37" s="2614"/>
      <c r="E37" s="2614"/>
      <c r="F37" s="2615"/>
      <c r="G37" s="1504">
        <f>SUM(G38:G52)</f>
        <v>30383</v>
      </c>
      <c r="H37" s="1483">
        <f>SUM(H38:H52)</f>
        <v>227062</v>
      </c>
      <c r="I37" s="1504">
        <f>SUM(I38:I52)</f>
        <v>208148</v>
      </c>
      <c r="J37" s="1527">
        <f>+I37/H37*100</f>
        <v>91.670116532048525</v>
      </c>
      <c r="N37" s="493"/>
      <c r="O37" s="494"/>
      <c r="P37" s="494" t="s">
        <v>177</v>
      </c>
    </row>
    <row r="38" spans="1:17" ht="29.25" customHeight="1" x14ac:dyDescent="0.3">
      <c r="A38" s="29"/>
      <c r="B38" s="1528"/>
      <c r="C38" s="1529"/>
      <c r="D38" s="1530" t="s">
        <v>81</v>
      </c>
      <c r="E38" s="1530"/>
      <c r="F38" s="1531"/>
      <c r="G38" s="1532">
        <v>30383</v>
      </c>
      <c r="H38" s="1533">
        <v>53662</v>
      </c>
      <c r="I38" s="1532">
        <v>53662</v>
      </c>
      <c r="J38" s="1534">
        <f>+I38/H38*100</f>
        <v>100</v>
      </c>
      <c r="N38" s="493"/>
      <c r="O38" s="494"/>
      <c r="P38" s="494" t="s">
        <v>177</v>
      </c>
    </row>
    <row r="39" spans="1:17" ht="29.25" customHeight="1" x14ac:dyDescent="0.3">
      <c r="A39" s="29"/>
      <c r="B39" s="1425"/>
      <c r="C39" s="1426"/>
      <c r="D39" s="1430" t="s">
        <v>89</v>
      </c>
      <c r="E39" s="1430"/>
      <c r="F39" s="1431"/>
      <c r="G39" s="1428"/>
      <c r="H39" s="1429">
        <v>1979</v>
      </c>
      <c r="I39" s="1428">
        <v>1979</v>
      </c>
      <c r="J39" s="1470">
        <f t="shared" ref="J39:J48" si="4">+I39/H39*100</f>
        <v>100</v>
      </c>
      <c r="N39" s="493"/>
      <c r="O39" s="494"/>
      <c r="P39" s="494" t="s">
        <v>177</v>
      </c>
    </row>
    <row r="40" spans="1:17" ht="29.25" customHeight="1" x14ac:dyDescent="0.3">
      <c r="A40" s="29"/>
      <c r="B40" s="1425"/>
      <c r="C40" s="1426"/>
      <c r="D40" s="1818" t="s">
        <v>332</v>
      </c>
      <c r="E40" s="1432"/>
      <c r="F40" s="1431"/>
      <c r="G40" s="1428"/>
      <c r="H40" s="1429">
        <v>4320</v>
      </c>
      <c r="I40" s="1428">
        <v>4320</v>
      </c>
      <c r="J40" s="1470">
        <f t="shared" si="4"/>
        <v>100</v>
      </c>
      <c r="N40" s="493"/>
      <c r="O40" s="494"/>
      <c r="P40" s="494" t="s">
        <v>177</v>
      </c>
    </row>
    <row r="41" spans="1:17" ht="29.25" customHeight="1" x14ac:dyDescent="0.3">
      <c r="A41" s="29"/>
      <c r="B41" s="1425"/>
      <c r="C41" s="1426"/>
      <c r="D41" s="1818" t="s">
        <v>136</v>
      </c>
      <c r="E41" s="1432"/>
      <c r="F41" s="1431"/>
      <c r="G41" s="1428"/>
      <c r="H41" s="1429">
        <v>598</v>
      </c>
      <c r="I41" s="1428">
        <f>598-1</f>
        <v>597</v>
      </c>
      <c r="J41" s="1470">
        <f t="shared" si="4"/>
        <v>99.832775919732441</v>
      </c>
      <c r="N41" s="493"/>
      <c r="O41" s="494"/>
      <c r="P41" s="494" t="s">
        <v>177</v>
      </c>
    </row>
    <row r="42" spans="1:17" ht="51" customHeight="1" x14ac:dyDescent="0.3">
      <c r="A42" s="29"/>
      <c r="B42" s="1425"/>
      <c r="C42" s="1426"/>
      <c r="D42" s="2601" t="s">
        <v>593</v>
      </c>
      <c r="E42" s="2601"/>
      <c r="F42" s="2609"/>
      <c r="G42" s="1428"/>
      <c r="H42" s="1429">
        <v>5040</v>
      </c>
      <c r="I42" s="1428">
        <v>5040</v>
      </c>
      <c r="J42" s="1470">
        <f t="shared" si="4"/>
        <v>100</v>
      </c>
      <c r="N42" s="493"/>
      <c r="O42" s="494"/>
      <c r="P42" s="494"/>
    </row>
    <row r="43" spans="1:17" ht="29.25" customHeight="1" x14ac:dyDescent="0.3">
      <c r="B43" s="1425"/>
      <c r="C43" s="1426"/>
      <c r="D43" s="1427" t="s">
        <v>529</v>
      </c>
      <c r="E43" s="1432"/>
      <c r="F43" s="1431"/>
      <c r="G43" s="1433"/>
      <c r="H43" s="1434">
        <v>1085</v>
      </c>
      <c r="I43" s="1433">
        <v>1085</v>
      </c>
      <c r="J43" s="1470">
        <f t="shared" si="4"/>
        <v>100</v>
      </c>
      <c r="N43" s="493"/>
      <c r="O43" s="494"/>
      <c r="P43" s="494" t="s">
        <v>177</v>
      </c>
    </row>
    <row r="44" spans="1:17" ht="51" customHeight="1" x14ac:dyDescent="0.3">
      <c r="B44" s="1425"/>
      <c r="C44" s="1426"/>
      <c r="D44" s="2616" t="s">
        <v>530</v>
      </c>
      <c r="E44" s="2616"/>
      <c r="F44" s="2617"/>
      <c r="G44" s="1433"/>
      <c r="H44" s="1434">
        <v>8290</v>
      </c>
      <c r="I44" s="1433">
        <v>8290</v>
      </c>
      <c r="J44" s="1470">
        <f t="shared" si="4"/>
        <v>100</v>
      </c>
      <c r="N44" s="493"/>
      <c r="O44" s="494"/>
      <c r="P44" s="494" t="s">
        <v>177</v>
      </c>
    </row>
    <row r="45" spans="1:17" ht="29.25" customHeight="1" x14ac:dyDescent="0.3">
      <c r="B45" s="1425"/>
      <c r="C45" s="1426"/>
      <c r="D45" s="1818" t="s">
        <v>301</v>
      </c>
      <c r="E45" s="1432"/>
      <c r="F45" s="1431"/>
      <c r="G45" s="1433"/>
      <c r="H45" s="1434">
        <v>3000</v>
      </c>
      <c r="I45" s="1433">
        <v>3000</v>
      </c>
      <c r="J45" s="1470">
        <f t="shared" si="4"/>
        <v>100</v>
      </c>
      <c r="N45" s="493"/>
      <c r="O45" s="494"/>
      <c r="P45" s="494"/>
    </row>
    <row r="46" spans="1:17" ht="29.25" customHeight="1" x14ac:dyDescent="0.3">
      <c r="B46" s="1425"/>
      <c r="C46" s="1426"/>
      <c r="D46" s="2601" t="s">
        <v>594</v>
      </c>
      <c r="E46" s="2601"/>
      <c r="F46" s="2609"/>
      <c r="G46" s="1433"/>
      <c r="H46" s="1434">
        <v>93594</v>
      </c>
      <c r="I46" s="1433">
        <v>93594</v>
      </c>
      <c r="J46" s="1470">
        <f t="shared" si="4"/>
        <v>100</v>
      </c>
      <c r="N46" s="493"/>
      <c r="O46" s="494"/>
      <c r="P46" s="494"/>
    </row>
    <row r="47" spans="1:17" ht="29.25" customHeight="1" x14ac:dyDescent="0.3">
      <c r="B47" s="1368"/>
      <c r="C47" s="1384"/>
      <c r="D47" s="1370" t="s">
        <v>257</v>
      </c>
      <c r="E47" s="1370"/>
      <c r="F47" s="1371"/>
      <c r="G47" s="1376"/>
      <c r="H47" s="1377">
        <v>13433</v>
      </c>
      <c r="I47" s="1376">
        <v>13433</v>
      </c>
      <c r="J47" s="1470">
        <f t="shared" si="4"/>
        <v>100</v>
      </c>
      <c r="N47" s="493"/>
      <c r="O47" s="494"/>
      <c r="P47" s="494" t="s">
        <v>177</v>
      </c>
    </row>
    <row r="48" spans="1:17" ht="51" customHeight="1" x14ac:dyDescent="0.3">
      <c r="B48" s="1368"/>
      <c r="C48" s="1384"/>
      <c r="D48" s="2601" t="s">
        <v>427</v>
      </c>
      <c r="E48" s="2588"/>
      <c r="F48" s="2589"/>
      <c r="G48" s="1376"/>
      <c r="H48" s="1377">
        <v>16028</v>
      </c>
      <c r="I48" s="1376">
        <v>16028</v>
      </c>
      <c r="J48" s="1470">
        <f t="shared" si="4"/>
        <v>100</v>
      </c>
      <c r="N48" s="493"/>
      <c r="O48" s="494"/>
      <c r="P48" s="494" t="s">
        <v>177</v>
      </c>
    </row>
    <row r="49" spans="1:16" ht="29.25" customHeight="1" x14ac:dyDescent="0.3">
      <c r="B49" s="1368"/>
      <c r="C49" s="1384"/>
      <c r="D49" s="1818" t="s">
        <v>330</v>
      </c>
      <c r="E49" s="1390"/>
      <c r="F49" s="1435"/>
      <c r="G49" s="1376"/>
      <c r="H49" s="1377">
        <v>3420</v>
      </c>
      <c r="I49" s="1376"/>
      <c r="J49" s="1470">
        <f>+I49/H49*100</f>
        <v>0</v>
      </c>
      <c r="N49" s="493"/>
      <c r="O49" s="494"/>
      <c r="P49" s="494"/>
    </row>
    <row r="50" spans="1:16" ht="29.25" customHeight="1" x14ac:dyDescent="0.3">
      <c r="B50" s="1368"/>
      <c r="C50" s="1384"/>
      <c r="D50" s="2601" t="s">
        <v>331</v>
      </c>
      <c r="E50" s="2588"/>
      <c r="F50" s="2589"/>
      <c r="G50" s="1376"/>
      <c r="H50" s="1377">
        <v>15493</v>
      </c>
      <c r="I50" s="1376"/>
      <c r="J50" s="1470">
        <f>+I50/H50*100</f>
        <v>0</v>
      </c>
      <c r="N50" s="493"/>
      <c r="O50" s="494"/>
      <c r="P50" s="494"/>
    </row>
    <row r="51" spans="1:16" ht="29.25" customHeight="1" x14ac:dyDescent="0.3">
      <c r="B51" s="1368"/>
      <c r="C51" s="1384"/>
      <c r="D51" s="1818" t="s">
        <v>630</v>
      </c>
      <c r="E51" s="1390"/>
      <c r="F51" s="1435"/>
      <c r="G51" s="1376"/>
      <c r="H51" s="1377">
        <v>4400</v>
      </c>
      <c r="I51" s="1376">
        <v>4400</v>
      </c>
      <c r="J51" s="1470">
        <f>+I51/H51*100</f>
        <v>100</v>
      </c>
      <c r="N51" s="493"/>
      <c r="O51" s="494"/>
      <c r="P51" s="494"/>
    </row>
    <row r="52" spans="1:16" ht="29.25" customHeight="1" x14ac:dyDescent="0.3">
      <c r="B52" s="1368"/>
      <c r="C52" s="1384"/>
      <c r="D52" s="2602" t="s">
        <v>613</v>
      </c>
      <c r="E52" s="2603"/>
      <c r="F52" s="2604"/>
      <c r="G52" s="1394"/>
      <c r="H52" s="1395">
        <v>2720</v>
      </c>
      <c r="I52" s="1394">
        <v>2720</v>
      </c>
      <c r="J52" s="1525">
        <f>+I52/H52*100</f>
        <v>100</v>
      </c>
      <c r="N52" s="493"/>
      <c r="O52" s="494"/>
      <c r="P52" s="494"/>
    </row>
    <row r="53" spans="1:16" ht="29.25" customHeight="1" thickBot="1" x14ac:dyDescent="0.35">
      <c r="B53" s="1476" t="s">
        <v>558</v>
      </c>
      <c r="C53" s="1518"/>
      <c r="D53" s="1478"/>
      <c r="E53" s="1478"/>
      <c r="F53" s="1523"/>
      <c r="G53" s="1497">
        <f>+G8+G37+G35</f>
        <v>3078482</v>
      </c>
      <c r="H53" s="1524">
        <f>+H8+H37+H35</f>
        <v>3668486</v>
      </c>
      <c r="I53" s="1497">
        <f>+I8+I37+I35</f>
        <v>3649572</v>
      </c>
      <c r="J53" s="1526">
        <f>+I53/H53*100</f>
        <v>99.484419458054361</v>
      </c>
      <c r="N53" s="493"/>
      <c r="O53" s="494"/>
      <c r="P53" s="493"/>
    </row>
    <row r="54" spans="1:16" ht="29.25" customHeight="1" x14ac:dyDescent="0.3">
      <c r="B54" s="1339" t="s">
        <v>561</v>
      </c>
      <c r="C54" s="1340"/>
      <c r="D54" s="1438"/>
      <c r="E54" s="1438"/>
      <c r="F54" s="1342"/>
      <c r="G54" s="1439"/>
      <c r="H54" s="1440"/>
      <c r="I54" s="1439"/>
      <c r="J54" s="1441"/>
      <c r="N54" s="493"/>
      <c r="O54" s="494"/>
      <c r="P54" s="493"/>
    </row>
    <row r="55" spans="1:16" ht="29.25" customHeight="1" x14ac:dyDescent="0.3">
      <c r="B55" s="1442"/>
      <c r="C55" s="1426" t="s">
        <v>224</v>
      </c>
      <c r="D55" s="1443"/>
      <c r="E55" s="1443"/>
      <c r="F55" s="1444"/>
      <c r="G55" s="1445"/>
      <c r="H55" s="1446"/>
      <c r="I55" s="1445"/>
      <c r="J55" s="1447"/>
      <c r="N55" s="493"/>
      <c r="O55" s="494"/>
      <c r="P55" s="493"/>
    </row>
    <row r="56" spans="1:16" ht="29.25" customHeight="1" x14ac:dyDescent="0.3">
      <c r="A56" s="29"/>
      <c r="B56" s="1368"/>
      <c r="C56" s="497"/>
      <c r="D56" s="1370" t="s">
        <v>32</v>
      </c>
      <c r="E56" s="1370"/>
      <c r="F56" s="1371"/>
      <c r="G56" s="1448">
        <v>500</v>
      </c>
      <c r="H56" s="1448">
        <v>766</v>
      </c>
      <c r="I56" s="1448">
        <v>766</v>
      </c>
      <c r="J56" s="1449">
        <f>+I56/H56*100</f>
        <v>100</v>
      </c>
      <c r="N56" s="493"/>
      <c r="O56" s="494"/>
      <c r="P56" s="494"/>
    </row>
    <row r="57" spans="1:16" ht="29.25" customHeight="1" x14ac:dyDescent="0.3">
      <c r="B57" s="1442"/>
      <c r="C57" s="1426" t="s">
        <v>225</v>
      </c>
      <c r="D57" s="1443"/>
      <c r="E57" s="1443"/>
      <c r="F57" s="1444"/>
      <c r="G57" s="1445"/>
      <c r="H57" s="1445"/>
      <c r="I57" s="1445"/>
      <c r="J57" s="1447"/>
      <c r="N57" s="493"/>
      <c r="O57" s="494"/>
      <c r="P57" s="494"/>
    </row>
    <row r="58" spans="1:16" ht="29.25" customHeight="1" x14ac:dyDescent="0.3">
      <c r="A58" s="29"/>
      <c r="B58" s="1368"/>
      <c r="C58" s="497"/>
      <c r="D58" s="1370" t="s">
        <v>60</v>
      </c>
      <c r="E58" s="1370"/>
      <c r="F58" s="1371"/>
      <c r="G58" s="1448">
        <v>1220000</v>
      </c>
      <c r="H58" s="1448">
        <v>1233097</v>
      </c>
      <c r="I58" s="1448">
        <v>1233097</v>
      </c>
      <c r="J58" s="1449">
        <f>+I58/H58*100</f>
        <v>100</v>
      </c>
      <c r="N58" s="493"/>
      <c r="O58" s="494"/>
      <c r="P58" s="493"/>
    </row>
    <row r="59" spans="1:16" ht="29.25" customHeight="1" x14ac:dyDescent="0.3">
      <c r="B59" s="1442"/>
      <c r="C59" s="1426" t="s">
        <v>226</v>
      </c>
      <c r="D59" s="1443"/>
      <c r="E59" s="1443"/>
      <c r="F59" s="1444"/>
      <c r="G59" s="1445"/>
      <c r="H59" s="1445"/>
      <c r="I59" s="1445"/>
      <c r="J59" s="1450"/>
      <c r="N59" s="493"/>
      <c r="O59" s="494"/>
      <c r="P59" s="493"/>
    </row>
    <row r="60" spans="1:16" ht="29.25" customHeight="1" x14ac:dyDescent="0.3">
      <c r="B60" s="1425"/>
      <c r="C60" s="1426"/>
      <c r="D60" s="1818" t="s">
        <v>33</v>
      </c>
      <c r="E60" s="1432"/>
      <c r="F60" s="1431"/>
      <c r="G60" s="1433">
        <v>7580000</v>
      </c>
      <c r="H60" s="1433">
        <v>7854335</v>
      </c>
      <c r="I60" s="1433">
        <v>7854538</v>
      </c>
      <c r="J60" s="1359">
        <f>+I60/H60*100</f>
        <v>100.0025845599914</v>
      </c>
      <c r="N60" s="493"/>
      <c r="O60" s="494"/>
      <c r="P60" s="493"/>
    </row>
    <row r="61" spans="1:16" ht="29.25" customHeight="1" x14ac:dyDescent="0.3">
      <c r="A61" s="29"/>
      <c r="B61" s="1425"/>
      <c r="C61" s="1426"/>
      <c r="D61" s="1451" t="s">
        <v>88</v>
      </c>
      <c r="E61" s="1452"/>
      <c r="F61" s="1453"/>
      <c r="G61" s="1454">
        <v>237000</v>
      </c>
      <c r="H61" s="1454">
        <v>251551</v>
      </c>
      <c r="I61" s="1454">
        <v>251551</v>
      </c>
      <c r="J61" s="1359">
        <f>+I61/H61*100</f>
        <v>100</v>
      </c>
      <c r="N61" s="493"/>
      <c r="O61" s="494"/>
      <c r="P61" s="494"/>
    </row>
    <row r="62" spans="1:16" ht="29.25" customHeight="1" x14ac:dyDescent="0.3">
      <c r="B62" s="1425"/>
      <c r="C62" s="1426"/>
      <c r="D62" s="1818" t="s">
        <v>86</v>
      </c>
      <c r="E62" s="1818"/>
      <c r="F62" s="1431"/>
      <c r="G62" s="1433">
        <v>15000</v>
      </c>
      <c r="H62" s="1433">
        <v>18719</v>
      </c>
      <c r="I62" s="1433">
        <v>18719</v>
      </c>
      <c r="J62" s="1359">
        <f>+I62/H62*100</f>
        <v>100</v>
      </c>
      <c r="N62" s="493"/>
      <c r="O62" s="494"/>
      <c r="P62" s="494"/>
    </row>
    <row r="63" spans="1:16" ht="29.25" customHeight="1" x14ac:dyDescent="0.3">
      <c r="B63" s="1425"/>
      <c r="C63" s="1426"/>
      <c r="D63" s="1818" t="s">
        <v>73</v>
      </c>
      <c r="E63" s="1818"/>
      <c r="F63" s="1431"/>
      <c r="G63" s="1433"/>
      <c r="H63" s="1433">
        <v>275</v>
      </c>
      <c r="I63" s="1433">
        <v>275</v>
      </c>
      <c r="J63" s="1359">
        <f>+I63/H63*100</f>
        <v>100</v>
      </c>
      <c r="N63" s="493"/>
      <c r="O63" s="494"/>
      <c r="P63" s="494"/>
    </row>
    <row r="64" spans="1:16" ht="29.25" customHeight="1" x14ac:dyDescent="0.3">
      <c r="B64" s="1442"/>
      <c r="C64" s="1426" t="s">
        <v>227</v>
      </c>
      <c r="D64" s="1443"/>
      <c r="E64" s="1443"/>
      <c r="F64" s="1444"/>
      <c r="G64" s="1445"/>
      <c r="H64" s="1445"/>
      <c r="I64" s="1445"/>
      <c r="J64" s="1450"/>
      <c r="N64" s="493"/>
      <c r="O64" s="494"/>
      <c r="P64" s="494"/>
    </row>
    <row r="65" spans="1:16" ht="29.25" customHeight="1" x14ac:dyDescent="0.3">
      <c r="B65" s="1425"/>
      <c r="C65" s="1426"/>
      <c r="D65" s="1818" t="s">
        <v>57</v>
      </c>
      <c r="E65" s="1432"/>
      <c r="F65" s="1431"/>
      <c r="G65" s="1433">
        <v>5000</v>
      </c>
      <c r="H65" s="1433">
        <v>2590</v>
      </c>
      <c r="I65" s="1433">
        <v>2590</v>
      </c>
      <c r="J65" s="1359">
        <f t="shared" ref="J65:J70" si="5">+I65/H65*100</f>
        <v>100</v>
      </c>
      <c r="N65" s="493"/>
      <c r="O65" s="494"/>
      <c r="P65" s="494"/>
    </row>
    <row r="66" spans="1:16" ht="29.25" customHeight="1" x14ac:dyDescent="0.3">
      <c r="B66" s="1425"/>
      <c r="C66" s="1426"/>
      <c r="D66" s="1818" t="s">
        <v>425</v>
      </c>
      <c r="E66" s="1818"/>
      <c r="F66" s="1431"/>
      <c r="G66" s="1433">
        <v>30000</v>
      </c>
      <c r="H66" s="1433">
        <v>22583</v>
      </c>
      <c r="I66" s="1433">
        <v>22583</v>
      </c>
      <c r="J66" s="1359">
        <f t="shared" si="5"/>
        <v>100</v>
      </c>
      <c r="N66" s="493"/>
      <c r="O66" s="494"/>
      <c r="P66" s="494"/>
    </row>
    <row r="67" spans="1:16" ht="29.25" customHeight="1" x14ac:dyDescent="0.3">
      <c r="A67" s="29"/>
      <c r="B67" s="1425"/>
      <c r="C67" s="1426"/>
      <c r="D67" s="1818" t="s">
        <v>1382</v>
      </c>
      <c r="E67" s="1432"/>
      <c r="F67" s="1431"/>
      <c r="G67" s="1433">
        <v>400</v>
      </c>
      <c r="H67" s="1433">
        <v>1166</v>
      </c>
      <c r="I67" s="1433">
        <v>1166</v>
      </c>
      <c r="J67" s="1359">
        <f t="shared" si="5"/>
        <v>100</v>
      </c>
      <c r="N67" s="493"/>
      <c r="O67" s="494"/>
      <c r="P67" s="494"/>
    </row>
    <row r="68" spans="1:16" ht="29.25" customHeight="1" x14ac:dyDescent="0.3">
      <c r="B68" s="1425"/>
      <c r="C68" s="1384"/>
      <c r="D68" s="1370" t="s">
        <v>48</v>
      </c>
      <c r="E68" s="1370"/>
      <c r="F68" s="1431"/>
      <c r="G68" s="1433"/>
      <c r="H68" s="1433">
        <v>2532</v>
      </c>
      <c r="I68" s="1433">
        <v>2532</v>
      </c>
      <c r="J68" s="1359">
        <f t="shared" si="5"/>
        <v>100</v>
      </c>
      <c r="N68" s="493"/>
      <c r="O68" s="494"/>
      <c r="P68" s="494"/>
    </row>
    <row r="69" spans="1:16" ht="29.25" customHeight="1" x14ac:dyDescent="0.3">
      <c r="B69" s="1455"/>
      <c r="C69" s="1456"/>
      <c r="D69" s="1457" t="s">
        <v>267</v>
      </c>
      <c r="E69" s="1457"/>
      <c r="F69" s="1458"/>
      <c r="G69" s="1459"/>
      <c r="H69" s="1459">
        <v>42</v>
      </c>
      <c r="I69" s="1459">
        <v>42</v>
      </c>
      <c r="J69" s="1460">
        <f t="shared" si="5"/>
        <v>100</v>
      </c>
      <c r="N69" s="493"/>
      <c r="O69" s="494"/>
      <c r="P69" s="494"/>
    </row>
    <row r="70" spans="1:16" ht="29.25" customHeight="1" thickBot="1" x14ac:dyDescent="0.35">
      <c r="B70" s="1436" t="s">
        <v>562</v>
      </c>
      <c r="C70" s="1346"/>
      <c r="D70" s="1333"/>
      <c r="E70" s="1333"/>
      <c r="F70" s="1413"/>
      <c r="G70" s="1437">
        <f>SUM(G56:G69)</f>
        <v>9087900</v>
      </c>
      <c r="H70" s="1437">
        <f>SUM(H56:H69)</f>
        <v>9387656</v>
      </c>
      <c r="I70" s="1437">
        <f>SUM(I56:I69)</f>
        <v>9387859</v>
      </c>
      <c r="J70" s="1461">
        <f t="shared" si="5"/>
        <v>100.00216241413192</v>
      </c>
      <c r="N70" s="493"/>
      <c r="O70" s="494"/>
      <c r="P70" s="494"/>
    </row>
    <row r="71" spans="1:16" ht="29.25" customHeight="1" x14ac:dyDescent="0.3">
      <c r="B71" s="1412" t="s">
        <v>576</v>
      </c>
      <c r="C71" s="1462"/>
      <c r="D71" s="1462"/>
      <c r="E71" s="1462"/>
      <c r="F71" s="1462"/>
      <c r="G71" s="1330"/>
      <c r="H71" s="1331"/>
      <c r="I71" s="1438"/>
      <c r="J71" s="1463"/>
      <c r="N71" s="493"/>
      <c r="O71" s="494"/>
      <c r="P71" s="494"/>
    </row>
    <row r="72" spans="1:16" ht="29.25" customHeight="1" x14ac:dyDescent="0.3">
      <c r="A72" s="29"/>
      <c r="B72" s="1425"/>
      <c r="C72" s="1426"/>
      <c r="D72" s="1818" t="s">
        <v>476</v>
      </c>
      <c r="E72" s="1818"/>
      <c r="F72" s="1431"/>
      <c r="G72" s="1433">
        <v>1900</v>
      </c>
      <c r="H72" s="1433">
        <v>906</v>
      </c>
      <c r="I72" s="1433">
        <v>906</v>
      </c>
      <c r="J72" s="1387">
        <f>+I72/H72*100</f>
        <v>100</v>
      </c>
      <c r="N72" s="493"/>
      <c r="O72" s="494"/>
      <c r="P72" s="493"/>
    </row>
    <row r="73" spans="1:16" ht="29.25" customHeight="1" x14ac:dyDescent="0.3">
      <c r="B73" s="1425"/>
      <c r="C73" s="1426"/>
      <c r="D73" s="1451" t="s">
        <v>117</v>
      </c>
      <c r="E73" s="1452"/>
      <c r="F73" s="1453"/>
      <c r="G73" s="1454">
        <v>5000</v>
      </c>
      <c r="H73" s="1454">
        <v>36746</v>
      </c>
      <c r="I73" s="1454">
        <v>36748</v>
      </c>
      <c r="J73" s="1359">
        <f t="shared" ref="J73:J86" si="6">+I73/H73*100</f>
        <v>100.005442769281</v>
      </c>
      <c r="N73" s="493"/>
      <c r="O73" s="494"/>
      <c r="P73" s="493"/>
    </row>
    <row r="74" spans="1:16" ht="29.25" customHeight="1" x14ac:dyDescent="0.3">
      <c r="B74" s="1425"/>
      <c r="C74" s="1426"/>
      <c r="D74" s="1818" t="s">
        <v>493</v>
      </c>
      <c r="E74" s="1818"/>
      <c r="F74" s="1431"/>
      <c r="G74" s="1433">
        <v>6000</v>
      </c>
      <c r="H74" s="1433">
        <v>5029</v>
      </c>
      <c r="I74" s="1433">
        <v>5029</v>
      </c>
      <c r="J74" s="1359">
        <f t="shared" si="6"/>
        <v>100</v>
      </c>
      <c r="N74" s="493"/>
      <c r="O74" s="494"/>
      <c r="P74" s="493"/>
    </row>
    <row r="75" spans="1:16" ht="29.25" customHeight="1" x14ac:dyDescent="0.3">
      <c r="A75" s="29"/>
      <c r="B75" s="1425"/>
      <c r="C75" s="1426"/>
      <c r="D75" s="1818" t="s">
        <v>62</v>
      </c>
      <c r="E75" s="1818"/>
      <c r="F75" s="1431"/>
      <c r="G75" s="1433">
        <v>16000</v>
      </c>
      <c r="H75" s="1433">
        <v>19388</v>
      </c>
      <c r="I75" s="1433">
        <v>19388</v>
      </c>
      <c r="J75" s="1359">
        <f t="shared" si="6"/>
        <v>100</v>
      </c>
      <c r="N75" s="493"/>
      <c r="O75" s="494"/>
      <c r="P75" s="493"/>
    </row>
    <row r="76" spans="1:16" ht="29.25" customHeight="1" x14ac:dyDescent="0.3">
      <c r="B76" s="1425"/>
      <c r="C76" s="1426"/>
      <c r="D76" s="1451" t="s">
        <v>471</v>
      </c>
      <c r="E76" s="1452"/>
      <c r="F76" s="1453"/>
      <c r="G76" s="1454">
        <v>3600</v>
      </c>
      <c r="H76" s="1454">
        <v>0</v>
      </c>
      <c r="I76" s="1454"/>
      <c r="J76" s="1359"/>
      <c r="N76" s="493"/>
      <c r="O76" s="494"/>
      <c r="P76" s="493"/>
    </row>
    <row r="77" spans="1:16" ht="29.25" customHeight="1" x14ac:dyDescent="0.3">
      <c r="B77" s="1425"/>
      <c r="C77" s="1426"/>
      <c r="D77" s="1818" t="s">
        <v>494</v>
      </c>
      <c r="E77" s="1818"/>
      <c r="F77" s="1431"/>
      <c r="G77" s="1433">
        <v>36000</v>
      </c>
      <c r="H77" s="1433">
        <v>37404</v>
      </c>
      <c r="I77" s="1433">
        <v>37404</v>
      </c>
      <c r="J77" s="1359">
        <f t="shared" si="6"/>
        <v>100</v>
      </c>
      <c r="N77" s="493"/>
      <c r="O77" s="494"/>
      <c r="P77" s="493"/>
    </row>
    <row r="78" spans="1:16" ht="29.25" customHeight="1" x14ac:dyDescent="0.3">
      <c r="A78" s="29"/>
      <c r="B78" s="1425"/>
      <c r="C78" s="1426"/>
      <c r="D78" s="1818" t="s">
        <v>333</v>
      </c>
      <c r="E78" s="1818"/>
      <c r="F78" s="1431"/>
      <c r="G78" s="1433"/>
      <c r="H78" s="1433">
        <v>115</v>
      </c>
      <c r="I78" s="1433">
        <v>115</v>
      </c>
      <c r="J78" s="1359">
        <f t="shared" si="6"/>
        <v>100</v>
      </c>
      <c r="N78" s="493"/>
      <c r="O78" s="494"/>
      <c r="P78" s="494"/>
    </row>
    <row r="79" spans="1:16" ht="29.25" customHeight="1" x14ac:dyDescent="0.3">
      <c r="B79" s="1425"/>
      <c r="C79" s="1426"/>
      <c r="D79" s="1451" t="s">
        <v>592</v>
      </c>
      <c r="E79" s="1452"/>
      <c r="F79" s="1453"/>
      <c r="G79" s="1454"/>
      <c r="H79" s="1454">
        <v>8027</v>
      </c>
      <c r="I79" s="1454">
        <v>8027</v>
      </c>
      <c r="J79" s="1359">
        <f t="shared" si="6"/>
        <v>100</v>
      </c>
      <c r="N79" s="493"/>
      <c r="O79" s="494"/>
      <c r="P79" s="494"/>
    </row>
    <row r="80" spans="1:16" ht="29.25" customHeight="1" x14ac:dyDescent="0.3">
      <c r="B80" s="1425"/>
      <c r="C80" s="1426"/>
      <c r="D80" s="1818" t="s">
        <v>489</v>
      </c>
      <c r="E80" s="1818"/>
      <c r="F80" s="1431"/>
      <c r="G80" s="1433"/>
      <c r="H80" s="1433">
        <v>4294</v>
      </c>
      <c r="I80" s="1433">
        <v>4294</v>
      </c>
      <c r="J80" s="1359">
        <f t="shared" si="6"/>
        <v>100</v>
      </c>
      <c r="N80" s="493"/>
      <c r="O80" s="494"/>
      <c r="P80" s="494"/>
    </row>
    <row r="81" spans="1:16" ht="29.25" customHeight="1" x14ac:dyDescent="0.3">
      <c r="B81" s="1425"/>
      <c r="C81" s="1426"/>
      <c r="D81" s="1818" t="s">
        <v>435</v>
      </c>
      <c r="E81" s="1818"/>
      <c r="F81" s="1431"/>
      <c r="G81" s="1433"/>
      <c r="H81" s="1433">
        <v>2895</v>
      </c>
      <c r="I81" s="1433">
        <v>2895</v>
      </c>
      <c r="J81" s="1359">
        <f t="shared" si="6"/>
        <v>100</v>
      </c>
      <c r="N81" s="493"/>
      <c r="O81" s="494"/>
      <c r="P81" s="494"/>
    </row>
    <row r="82" spans="1:16" ht="29.25" customHeight="1" x14ac:dyDescent="0.3">
      <c r="B82" s="1425"/>
      <c r="C82" s="1426"/>
      <c r="D82" s="1818" t="s">
        <v>477</v>
      </c>
      <c r="E82" s="1818"/>
      <c r="F82" s="1431"/>
      <c r="G82" s="1433">
        <v>400000</v>
      </c>
      <c r="H82" s="1433">
        <v>422824</v>
      </c>
      <c r="I82" s="1433">
        <v>422824</v>
      </c>
      <c r="J82" s="1359">
        <f t="shared" si="6"/>
        <v>100</v>
      </c>
      <c r="N82" s="493"/>
      <c r="O82" s="494"/>
      <c r="P82" s="493"/>
    </row>
    <row r="83" spans="1:16" ht="29.25" customHeight="1" x14ac:dyDescent="0.3">
      <c r="A83" s="29"/>
      <c r="B83" s="1425"/>
      <c r="C83" s="1426"/>
      <c r="D83" s="1818" t="s">
        <v>1383</v>
      </c>
      <c r="E83" s="1818"/>
      <c r="F83" s="1431"/>
      <c r="G83" s="1433">
        <v>13000</v>
      </c>
      <c r="H83" s="1433">
        <v>14035</v>
      </c>
      <c r="I83" s="1433">
        <v>15283</v>
      </c>
      <c r="J83" s="1359">
        <f t="shared" si="6"/>
        <v>108.89205557534734</v>
      </c>
      <c r="N83" s="493"/>
      <c r="O83" s="494"/>
      <c r="P83" s="493"/>
    </row>
    <row r="84" spans="1:16" ht="29.25" customHeight="1" x14ac:dyDescent="0.3">
      <c r="A84" s="29"/>
      <c r="B84" s="1425"/>
      <c r="C84" s="1426"/>
      <c r="D84" s="1451" t="s">
        <v>131</v>
      </c>
      <c r="E84" s="1452"/>
      <c r="F84" s="1453"/>
      <c r="G84" s="1454">
        <v>2800</v>
      </c>
      <c r="H84" s="1454">
        <v>3616</v>
      </c>
      <c r="I84" s="1454">
        <v>3640</v>
      </c>
      <c r="J84" s="1359">
        <f t="shared" si="6"/>
        <v>100.66371681415929</v>
      </c>
      <c r="N84" s="493"/>
      <c r="O84" s="494"/>
      <c r="P84" s="493"/>
    </row>
    <row r="85" spans="1:16" ht="29.25" customHeight="1" x14ac:dyDescent="0.3">
      <c r="B85" s="1425"/>
      <c r="C85" s="1426"/>
      <c r="D85" s="1818" t="s">
        <v>130</v>
      </c>
      <c r="E85" s="1818"/>
      <c r="F85" s="1431"/>
      <c r="G85" s="1433">
        <v>600000</v>
      </c>
      <c r="H85" s="1433">
        <v>600000</v>
      </c>
      <c r="I85" s="1433">
        <v>654705</v>
      </c>
      <c r="J85" s="1359">
        <f t="shared" si="6"/>
        <v>109.11750000000001</v>
      </c>
      <c r="N85" s="493"/>
      <c r="O85" s="494"/>
      <c r="P85" s="493"/>
    </row>
    <row r="86" spans="1:16" ht="29.25" customHeight="1" x14ac:dyDescent="0.3">
      <c r="B86" s="1425"/>
      <c r="C86" s="1426"/>
      <c r="D86" s="1818" t="s">
        <v>74</v>
      </c>
      <c r="E86" s="1818"/>
      <c r="F86" s="1431"/>
      <c r="G86" s="1433">
        <v>51840</v>
      </c>
      <c r="H86" s="1433">
        <v>48336</v>
      </c>
      <c r="I86" s="1433">
        <v>48336</v>
      </c>
      <c r="J86" s="1359">
        <f t="shared" si="6"/>
        <v>100</v>
      </c>
      <c r="N86" s="493"/>
      <c r="O86" s="494"/>
      <c r="P86" s="493"/>
    </row>
    <row r="87" spans="1:16" ht="29.25" customHeight="1" x14ac:dyDescent="0.3">
      <c r="B87" s="1425"/>
      <c r="C87" s="1426"/>
      <c r="D87" s="1818" t="s">
        <v>118</v>
      </c>
      <c r="E87" s="1818"/>
      <c r="F87" s="1431"/>
      <c r="G87" s="1433">
        <v>25000</v>
      </c>
      <c r="H87" s="1433">
        <v>56080</v>
      </c>
      <c r="I87" s="1433">
        <v>56080</v>
      </c>
      <c r="J87" s="1359">
        <f>+I87/H87*100</f>
        <v>100</v>
      </c>
      <c r="N87" s="493"/>
      <c r="O87" s="494"/>
      <c r="P87" s="493"/>
    </row>
    <row r="88" spans="1:16" ht="29.25" customHeight="1" x14ac:dyDescent="0.3">
      <c r="B88" s="1425"/>
      <c r="C88" s="1426"/>
      <c r="D88" s="1451" t="s">
        <v>443</v>
      </c>
      <c r="E88" s="1451"/>
      <c r="F88" s="1453"/>
      <c r="G88" s="1454"/>
      <c r="H88" s="1464">
        <v>263712</v>
      </c>
      <c r="I88" s="1454">
        <v>221756</v>
      </c>
      <c r="J88" s="1396">
        <f>+I88/H88*100</f>
        <v>84.090219633539618</v>
      </c>
      <c r="N88" s="493"/>
      <c r="O88" s="494"/>
      <c r="P88" s="494"/>
    </row>
    <row r="89" spans="1:16" ht="29.25" customHeight="1" x14ac:dyDescent="0.3">
      <c r="B89" s="1425"/>
      <c r="C89" s="1426"/>
      <c r="D89" s="1818" t="s">
        <v>266</v>
      </c>
      <c r="E89" s="1818"/>
      <c r="F89" s="1431"/>
      <c r="G89" s="1433"/>
      <c r="H89" s="1434">
        <v>5250</v>
      </c>
      <c r="I89" s="1433">
        <v>5250</v>
      </c>
      <c r="J89" s="1387">
        <f>+I89/H89*100</f>
        <v>100</v>
      </c>
      <c r="N89" s="493"/>
      <c r="O89" s="494"/>
      <c r="P89" s="494"/>
    </row>
    <row r="90" spans="1:16" ht="29.25" customHeight="1" x14ac:dyDescent="0.3">
      <c r="B90" s="1425"/>
      <c r="C90" s="1426"/>
      <c r="D90" s="1465" t="s">
        <v>334</v>
      </c>
      <c r="E90" s="1465"/>
      <c r="F90" s="1466"/>
      <c r="G90" s="1467"/>
      <c r="H90" s="1468">
        <v>61</v>
      </c>
      <c r="I90" s="1467">
        <v>61</v>
      </c>
      <c r="J90" s="1359">
        <f>+I90/H90*100</f>
        <v>100</v>
      </c>
      <c r="N90" s="493"/>
      <c r="O90" s="494"/>
      <c r="P90" s="494"/>
    </row>
    <row r="91" spans="1:16" ht="29.25" customHeight="1" x14ac:dyDescent="0.3">
      <c r="B91" s="1425"/>
      <c r="C91" s="1426"/>
      <c r="D91" s="1465" t="s">
        <v>470</v>
      </c>
      <c r="E91" s="1451"/>
      <c r="F91" s="1453"/>
      <c r="G91" s="1454">
        <v>5000</v>
      </c>
      <c r="H91" s="1464">
        <v>2755</v>
      </c>
      <c r="I91" s="1454">
        <v>2755</v>
      </c>
      <c r="J91" s="1359">
        <f>+I91/H91*100</f>
        <v>100</v>
      </c>
      <c r="N91" s="493"/>
      <c r="O91" s="494"/>
      <c r="P91" s="493"/>
    </row>
    <row r="92" spans="1:16" ht="29.25" customHeight="1" x14ac:dyDescent="0.3">
      <c r="B92" s="1442"/>
      <c r="C92" s="1426" t="s">
        <v>236</v>
      </c>
      <c r="D92" s="1443"/>
      <c r="E92" s="1443"/>
      <c r="F92" s="1431"/>
      <c r="G92" s="1433"/>
      <c r="H92" s="1434"/>
      <c r="I92" s="1433"/>
      <c r="J92" s="1387"/>
      <c r="N92" s="493"/>
      <c r="O92" s="494"/>
      <c r="P92" s="493"/>
    </row>
    <row r="93" spans="1:16" ht="29.25" customHeight="1" x14ac:dyDescent="0.3">
      <c r="B93" s="1425"/>
      <c r="C93" s="1426"/>
      <c r="D93" s="1431" t="s">
        <v>478</v>
      </c>
      <c r="E93" s="1818"/>
      <c r="F93" s="1431"/>
      <c r="G93" s="1433">
        <v>77890</v>
      </c>
      <c r="H93" s="1433">
        <v>77890</v>
      </c>
      <c r="I93" s="1467"/>
      <c r="J93" s="1387">
        <f t="shared" ref="J93:J98" si="7">+I93/H93*100</f>
        <v>0</v>
      </c>
      <c r="N93" s="493"/>
      <c r="O93" s="494"/>
      <c r="P93" s="493"/>
    </row>
    <row r="94" spans="1:16" ht="29.25" customHeight="1" x14ac:dyDescent="0.3">
      <c r="B94" s="1425"/>
      <c r="C94" s="1426"/>
      <c r="D94" s="1431" t="s">
        <v>50</v>
      </c>
      <c r="E94" s="1818"/>
      <c r="F94" s="1431"/>
      <c r="G94" s="1433">
        <v>250000</v>
      </c>
      <c r="H94" s="1433">
        <v>250000</v>
      </c>
      <c r="I94" s="1433">
        <f>278063-1</f>
        <v>278062</v>
      </c>
      <c r="J94" s="1359">
        <f t="shared" si="7"/>
        <v>111.22479999999999</v>
      </c>
      <c r="N94" s="493"/>
      <c r="O94" s="494"/>
      <c r="P94" s="494"/>
    </row>
    <row r="95" spans="1:16" ht="29.25" customHeight="1" x14ac:dyDescent="0.3">
      <c r="B95" s="1425"/>
      <c r="C95" s="1426"/>
      <c r="D95" s="1818" t="s">
        <v>308</v>
      </c>
      <c r="E95" s="1818"/>
      <c r="F95" s="1431"/>
      <c r="G95" s="1433">
        <v>20000</v>
      </c>
      <c r="H95" s="1433">
        <v>20000</v>
      </c>
      <c r="I95" s="1433"/>
      <c r="J95" s="1359">
        <f t="shared" si="7"/>
        <v>0</v>
      </c>
      <c r="N95" s="493"/>
      <c r="O95" s="494"/>
      <c r="P95" s="493"/>
    </row>
    <row r="96" spans="1:16" ht="29.25" customHeight="1" x14ac:dyDescent="0.3">
      <c r="B96" s="1425"/>
      <c r="C96" s="1426"/>
      <c r="D96" s="1370" t="s">
        <v>99</v>
      </c>
      <c r="E96" s="1818"/>
      <c r="F96" s="1431"/>
      <c r="G96" s="1433"/>
      <c r="H96" s="1434">
        <v>76810</v>
      </c>
      <c r="I96" s="1433"/>
      <c r="J96" s="1359">
        <f t="shared" si="7"/>
        <v>0</v>
      </c>
      <c r="N96" s="493"/>
      <c r="O96" s="494"/>
      <c r="P96" s="494"/>
    </row>
    <row r="97" spans="1:17" ht="29.25" customHeight="1" x14ac:dyDescent="0.3">
      <c r="B97" s="1425"/>
      <c r="C97" s="1426"/>
      <c r="D97" s="1370" t="s">
        <v>335</v>
      </c>
      <c r="E97" s="1818"/>
      <c r="F97" s="1431"/>
      <c r="G97" s="1433"/>
      <c r="H97" s="1434">
        <v>87408</v>
      </c>
      <c r="I97" s="1433"/>
      <c r="J97" s="1359">
        <f t="shared" si="7"/>
        <v>0</v>
      </c>
      <c r="N97" s="493"/>
      <c r="O97" s="494"/>
      <c r="P97" s="494"/>
    </row>
    <row r="98" spans="1:17" ht="29.25" customHeight="1" x14ac:dyDescent="0.3">
      <c r="B98" s="1425"/>
      <c r="C98" s="1426"/>
      <c r="D98" s="1469" t="s">
        <v>642</v>
      </c>
      <c r="E98" s="1818"/>
      <c r="F98" s="1431"/>
      <c r="G98" s="1433"/>
      <c r="H98" s="1434">
        <v>202095</v>
      </c>
      <c r="I98" s="1433"/>
      <c r="J98" s="1470">
        <f t="shared" si="7"/>
        <v>0</v>
      </c>
      <c r="N98" s="493"/>
      <c r="O98" s="494"/>
      <c r="P98" s="494"/>
    </row>
    <row r="99" spans="1:17" ht="29.25" customHeight="1" x14ac:dyDescent="0.3">
      <c r="B99" s="1442"/>
      <c r="C99" s="1426" t="s">
        <v>237</v>
      </c>
      <c r="D99" s="1471"/>
      <c r="E99" s="1471"/>
      <c r="F99" s="1472"/>
      <c r="G99" s="1473"/>
      <c r="H99" s="1474"/>
      <c r="I99" s="1473"/>
      <c r="J99" s="1475"/>
      <c r="N99" s="493"/>
      <c r="O99" s="494"/>
      <c r="P99" s="494"/>
    </row>
    <row r="100" spans="1:17" ht="29.25" customHeight="1" x14ac:dyDescent="0.3">
      <c r="B100" s="1425"/>
      <c r="C100" s="1384"/>
      <c r="D100" s="2590" t="s">
        <v>495</v>
      </c>
      <c r="E100" s="2591"/>
      <c r="F100" s="2592"/>
      <c r="G100" s="1428">
        <v>5000</v>
      </c>
      <c r="H100" s="1428">
        <v>12483</v>
      </c>
      <c r="I100" s="1428">
        <v>12483</v>
      </c>
      <c r="J100" s="1359">
        <f>+I100/H100*100</f>
        <v>100</v>
      </c>
      <c r="N100" s="493"/>
      <c r="O100" s="494"/>
      <c r="P100" s="493"/>
    </row>
    <row r="101" spans="1:17" ht="29.25" customHeight="1" x14ac:dyDescent="0.3">
      <c r="B101" s="1425"/>
      <c r="C101" s="1384"/>
      <c r="D101" s="2593" t="s">
        <v>336</v>
      </c>
      <c r="E101" s="2594"/>
      <c r="F101" s="2595"/>
      <c r="G101" s="1433"/>
      <c r="H101" s="1434">
        <v>10929</v>
      </c>
      <c r="I101" s="1433">
        <v>10929</v>
      </c>
      <c r="J101" s="1359">
        <f>+I101/H101*100</f>
        <v>100</v>
      </c>
    </row>
    <row r="102" spans="1:17" ht="29.25" customHeight="1" x14ac:dyDescent="0.3">
      <c r="B102" s="1442"/>
      <c r="C102" s="1426" t="s">
        <v>327</v>
      </c>
      <c r="D102" s="1471"/>
      <c r="E102" s="1471"/>
      <c r="F102" s="1472"/>
      <c r="G102" s="1473"/>
      <c r="H102" s="1474"/>
      <c r="I102" s="1473"/>
      <c r="J102" s="1359"/>
    </row>
    <row r="103" spans="1:17" ht="29.25" customHeight="1" thickBot="1" x14ac:dyDescent="0.35">
      <c r="B103" s="1476" t="s">
        <v>571</v>
      </c>
      <c r="C103" s="1477"/>
      <c r="D103" s="1478"/>
      <c r="E103" s="1478"/>
      <c r="F103" s="1478"/>
      <c r="G103" s="1479">
        <f>SUM(G72:G102)</f>
        <v>1519030</v>
      </c>
      <c r="H103" s="1479">
        <f>SUM(H72:H102)</f>
        <v>2269088</v>
      </c>
      <c r="I103" s="1479">
        <f>SUM(I72:I102)</f>
        <v>1846970</v>
      </c>
      <c r="J103" s="1480">
        <f>+I103/H103*100</f>
        <v>81.39701941925567</v>
      </c>
    </row>
    <row r="104" spans="1:17" ht="29.25" customHeight="1" x14ac:dyDescent="0.3">
      <c r="B104" s="1412" t="s">
        <v>559</v>
      </c>
      <c r="C104" s="1481"/>
      <c r="D104" s="1482"/>
      <c r="E104" s="1482"/>
      <c r="F104" s="1482"/>
      <c r="G104" s="1483"/>
      <c r="H104" s="1467"/>
      <c r="I104" s="1483"/>
      <c r="J104" s="1484"/>
    </row>
    <row r="105" spans="1:17" s="29" customFormat="1" ht="51" customHeight="1" x14ac:dyDescent="0.3">
      <c r="B105" s="1412"/>
      <c r="C105" s="2599" t="s">
        <v>232</v>
      </c>
      <c r="D105" s="2599"/>
      <c r="E105" s="2599"/>
      <c r="F105" s="2600"/>
      <c r="G105" s="1485"/>
      <c r="H105" s="1485"/>
      <c r="I105" s="1485"/>
      <c r="J105" s="1486"/>
      <c r="K105" s="117"/>
      <c r="L105" s="117"/>
      <c r="M105" s="117"/>
      <c r="N105" s="489"/>
      <c r="O105" s="490"/>
      <c r="P105" s="490"/>
      <c r="Q105" s="497"/>
    </row>
    <row r="106" spans="1:17" ht="29.25" customHeight="1" x14ac:dyDescent="0.3">
      <c r="B106" s="1442"/>
      <c r="C106" s="1487"/>
      <c r="D106" s="2598" t="s">
        <v>650</v>
      </c>
      <c r="E106" s="2588"/>
      <c r="F106" s="2589"/>
      <c r="G106" s="1488"/>
      <c r="H106" s="1488">
        <v>20000</v>
      </c>
      <c r="I106" s="1488"/>
      <c r="J106" s="1489">
        <f>+I106/H106*100</f>
        <v>0</v>
      </c>
    </row>
    <row r="107" spans="1:17" ht="29.25" customHeight="1" x14ac:dyDescent="0.3">
      <c r="B107" s="1442"/>
      <c r="C107" s="1388"/>
      <c r="D107" s="2597" t="s">
        <v>560</v>
      </c>
      <c r="E107" s="2591"/>
      <c r="F107" s="2592"/>
      <c r="G107" s="1488"/>
      <c r="H107" s="1488">
        <v>649</v>
      </c>
      <c r="I107" s="1488">
        <v>649</v>
      </c>
      <c r="J107" s="1489">
        <f>+I107/H107*100</f>
        <v>100</v>
      </c>
    </row>
    <row r="108" spans="1:17" ht="29.25" customHeight="1" x14ac:dyDescent="0.3">
      <c r="B108" s="1442"/>
      <c r="C108" s="1487"/>
      <c r="D108" s="2596" t="s">
        <v>531</v>
      </c>
      <c r="E108" s="2591"/>
      <c r="F108" s="2592"/>
      <c r="G108" s="1488"/>
      <c r="H108" s="1488">
        <v>20000</v>
      </c>
      <c r="I108" s="1488"/>
      <c r="J108" s="1489">
        <f>+I108/H108*100</f>
        <v>0</v>
      </c>
    </row>
    <row r="109" spans="1:17" ht="51" customHeight="1" x14ac:dyDescent="0.3">
      <c r="B109" s="1442"/>
      <c r="C109" s="1388"/>
      <c r="D109" s="2598" t="s">
        <v>532</v>
      </c>
      <c r="E109" s="2591"/>
      <c r="F109" s="2592"/>
      <c r="G109" s="1488"/>
      <c r="H109" s="1488">
        <v>25000</v>
      </c>
      <c r="I109" s="1488">
        <v>25000</v>
      </c>
      <c r="J109" s="1489">
        <f>+I109/H109*100</f>
        <v>100</v>
      </c>
    </row>
    <row r="110" spans="1:17" ht="50.25" customHeight="1" x14ac:dyDescent="0.3">
      <c r="B110" s="1442"/>
      <c r="C110" s="1819"/>
      <c r="D110" s="2598" t="s">
        <v>337</v>
      </c>
      <c r="E110" s="2591"/>
      <c r="F110" s="2592"/>
      <c r="G110" s="1490"/>
      <c r="H110" s="1490">
        <v>3629</v>
      </c>
      <c r="I110" s="1490">
        <v>3629</v>
      </c>
      <c r="J110" s="1489">
        <f>+I110/H110*100</f>
        <v>100</v>
      </c>
    </row>
    <row r="111" spans="1:17" ht="29.25" customHeight="1" x14ac:dyDescent="0.3">
      <c r="A111" s="29"/>
      <c r="B111" s="1412"/>
      <c r="C111" s="1481" t="s">
        <v>233</v>
      </c>
      <c r="D111" s="1482"/>
      <c r="E111" s="1482"/>
      <c r="F111" s="1482"/>
      <c r="G111" s="1483"/>
      <c r="H111" s="1483"/>
      <c r="I111" s="1483"/>
      <c r="J111" s="1491"/>
    </row>
    <row r="112" spans="1:17" ht="29.25" customHeight="1" x14ac:dyDescent="0.3">
      <c r="B112" s="1442"/>
      <c r="C112" s="1487"/>
      <c r="D112" s="1492" t="s">
        <v>301</v>
      </c>
      <c r="E112" s="1819"/>
      <c r="F112" s="1493"/>
      <c r="G112" s="1494"/>
      <c r="H112" s="1490">
        <v>208</v>
      </c>
      <c r="I112" s="1490">
        <f>208+1</f>
        <v>209</v>
      </c>
      <c r="J112" s="1489">
        <f>+I112/H112*100</f>
        <v>100.48076923076923</v>
      </c>
    </row>
    <row r="113" spans="2:17" ht="29.25" customHeight="1" thickBot="1" x14ac:dyDescent="0.35">
      <c r="B113" s="1495"/>
      <c r="C113" s="1477" t="s">
        <v>1384</v>
      </c>
      <c r="D113" s="1496"/>
      <c r="E113" s="1496"/>
      <c r="F113" s="1478"/>
      <c r="G113" s="1437">
        <f>SUM(G106:G112)</f>
        <v>0</v>
      </c>
      <c r="H113" s="1497">
        <f>SUM(H106:H112)</f>
        <v>69486</v>
      </c>
      <c r="I113" s="1497">
        <f>SUM(I106:I112)</f>
        <v>29487</v>
      </c>
      <c r="J113" s="1498">
        <f>+I113/H113*100</f>
        <v>42.435886365598826</v>
      </c>
    </row>
    <row r="114" spans="2:17" ht="29.25" customHeight="1" x14ac:dyDescent="0.3">
      <c r="B114" s="1339" t="s">
        <v>228</v>
      </c>
      <c r="C114" s="1328"/>
      <c r="D114" s="1328"/>
      <c r="E114" s="1328"/>
      <c r="F114" s="1499"/>
      <c r="G114" s="1500"/>
      <c r="H114" s="1500"/>
      <c r="I114" s="1500"/>
      <c r="J114" s="1501"/>
    </row>
    <row r="115" spans="2:17" s="28" customFormat="1" ht="29.25" customHeight="1" x14ac:dyDescent="0.3">
      <c r="B115" s="1502"/>
      <c r="C115" s="1503" t="s">
        <v>152</v>
      </c>
      <c r="D115" s="1462"/>
      <c r="E115" s="1462"/>
      <c r="F115" s="1504"/>
      <c r="G115" s="1505">
        <v>15078</v>
      </c>
      <c r="H115" s="1505">
        <f>32286-2</f>
        <v>32284</v>
      </c>
      <c r="I115" s="1505">
        <v>32279</v>
      </c>
      <c r="J115" s="1359">
        <f>+I115/H115*100</f>
        <v>99.984512451988607</v>
      </c>
      <c r="K115" s="433"/>
      <c r="L115" s="433"/>
      <c r="M115" s="433"/>
      <c r="N115" s="489"/>
      <c r="O115" s="490"/>
      <c r="P115" s="490"/>
      <c r="Q115" s="499"/>
    </row>
    <row r="116" spans="2:17" s="28" customFormat="1" ht="29.25" customHeight="1" x14ac:dyDescent="0.3">
      <c r="B116" s="1502"/>
      <c r="C116" s="1506" t="s">
        <v>353</v>
      </c>
      <c r="D116" s="1507"/>
      <c r="E116" s="1508"/>
      <c r="F116" s="1509"/>
      <c r="G116" s="1505">
        <v>455966</v>
      </c>
      <c r="H116" s="1505">
        <v>473343</v>
      </c>
      <c r="I116" s="1505">
        <v>473343</v>
      </c>
      <c r="J116" s="1359">
        <f t="shared" ref="J116:J128" si="8">+I116/H116*100</f>
        <v>100</v>
      </c>
      <c r="K116" s="433"/>
      <c r="L116" s="433"/>
      <c r="M116" s="433"/>
      <c r="N116" s="489"/>
      <c r="O116" s="490"/>
      <c r="P116" s="490"/>
      <c r="Q116" s="499"/>
    </row>
    <row r="117" spans="2:17" s="28" customFormat="1" ht="29.25" customHeight="1" x14ac:dyDescent="0.3">
      <c r="B117" s="1502"/>
      <c r="C117" s="1507" t="s">
        <v>564</v>
      </c>
      <c r="D117" s="1510"/>
      <c r="E117" s="1508"/>
      <c r="F117" s="1509"/>
      <c r="G117" s="1505">
        <v>267112</v>
      </c>
      <c r="H117" s="1505">
        <v>320185</v>
      </c>
      <c r="I117" s="1505">
        <v>320268</v>
      </c>
      <c r="J117" s="1359">
        <f t="shared" si="8"/>
        <v>100.02592251354685</v>
      </c>
      <c r="K117" s="433"/>
      <c r="L117" s="433"/>
      <c r="M117" s="433"/>
      <c r="N117" s="489"/>
      <c r="O117" s="490"/>
      <c r="P117" s="490"/>
      <c r="Q117" s="499"/>
    </row>
    <row r="118" spans="2:17" s="28" customFormat="1" ht="29.25" customHeight="1" x14ac:dyDescent="0.3">
      <c r="B118" s="1502"/>
      <c r="C118" s="1507" t="s">
        <v>473</v>
      </c>
      <c r="D118" s="1510"/>
      <c r="E118" s="1508"/>
      <c r="F118" s="1509"/>
      <c r="G118" s="1505">
        <v>30868</v>
      </c>
      <c r="H118" s="1505">
        <v>55620</v>
      </c>
      <c r="I118" s="1505">
        <v>55619</v>
      </c>
      <c r="J118" s="1359">
        <f t="shared" si="8"/>
        <v>99.998202085580729</v>
      </c>
      <c r="K118" s="433"/>
      <c r="L118" s="433"/>
      <c r="M118" s="433"/>
      <c r="N118" s="489"/>
      <c r="O118" s="490"/>
      <c r="P118" s="490"/>
      <c r="Q118" s="499"/>
    </row>
    <row r="119" spans="2:17" s="28" customFormat="1" ht="29.25" customHeight="1" x14ac:dyDescent="0.3">
      <c r="B119" s="1502"/>
      <c r="C119" s="1507" t="s">
        <v>474</v>
      </c>
      <c r="D119" s="1510"/>
      <c r="E119" s="1508"/>
      <c r="F119" s="1509"/>
      <c r="G119" s="1505">
        <v>111000</v>
      </c>
      <c r="H119" s="1505">
        <v>127863</v>
      </c>
      <c r="I119" s="1505">
        <v>126807</v>
      </c>
      <c r="J119" s="1359">
        <f t="shared" si="8"/>
        <v>99.17411604608057</v>
      </c>
      <c r="K119" s="433"/>
      <c r="L119" s="433"/>
      <c r="M119" s="433"/>
      <c r="N119" s="489"/>
      <c r="O119" s="490"/>
      <c r="P119" s="490"/>
      <c r="Q119" s="499"/>
    </row>
    <row r="120" spans="2:17" s="28" customFormat="1" ht="29.25" customHeight="1" x14ac:dyDescent="0.3">
      <c r="B120" s="1502"/>
      <c r="C120" s="1507" t="s">
        <v>565</v>
      </c>
      <c r="D120" s="1510"/>
      <c r="E120" s="1508"/>
      <c r="F120" s="1509"/>
      <c r="G120" s="1505">
        <v>120050</v>
      </c>
      <c r="H120" s="1505">
        <v>100951</v>
      </c>
      <c r="I120" s="1505">
        <v>100950</v>
      </c>
      <c r="J120" s="1359">
        <f t="shared" si="8"/>
        <v>99.999009420411895</v>
      </c>
      <c r="K120" s="433"/>
      <c r="L120" s="433"/>
      <c r="M120" s="433"/>
      <c r="N120" s="489"/>
      <c r="O120" s="490"/>
      <c r="P120" s="490"/>
      <c r="Q120" s="499"/>
    </row>
    <row r="121" spans="2:17" s="28" customFormat="1" ht="29.25" customHeight="1" x14ac:dyDescent="0.3">
      <c r="B121" s="1502"/>
      <c r="C121" s="1507" t="s">
        <v>566</v>
      </c>
      <c r="D121" s="1510"/>
      <c r="E121" s="1508"/>
      <c r="F121" s="1509"/>
      <c r="G121" s="1505">
        <v>24000</v>
      </c>
      <c r="H121" s="1505">
        <v>38320</v>
      </c>
      <c r="I121" s="1505">
        <v>38308</v>
      </c>
      <c r="J121" s="1359">
        <f t="shared" si="8"/>
        <v>99.968684759916499</v>
      </c>
      <c r="K121" s="433"/>
      <c r="L121" s="433"/>
      <c r="M121" s="433"/>
      <c r="N121" s="489"/>
      <c r="O121" s="490"/>
      <c r="P121" s="490"/>
      <c r="Q121" s="499"/>
    </row>
    <row r="122" spans="2:17" s="28" customFormat="1" ht="29.25" customHeight="1" x14ac:dyDescent="0.3">
      <c r="B122" s="1502"/>
      <c r="C122" s="2587" t="s">
        <v>90</v>
      </c>
      <c r="D122" s="2588"/>
      <c r="E122" s="2588"/>
      <c r="F122" s="2589"/>
      <c r="G122" s="1505">
        <v>89561</v>
      </c>
      <c r="H122" s="1505">
        <v>134137</v>
      </c>
      <c r="I122" s="1505">
        <v>134137</v>
      </c>
      <c r="J122" s="1359">
        <f t="shared" si="8"/>
        <v>100</v>
      </c>
      <c r="K122" s="433"/>
      <c r="L122" s="433"/>
      <c r="M122" s="433"/>
      <c r="N122" s="489"/>
      <c r="O122" s="490"/>
      <c r="P122" s="490"/>
      <c r="Q122" s="499"/>
    </row>
    <row r="123" spans="2:17" s="28" customFormat="1" ht="29.25" customHeight="1" x14ac:dyDescent="0.3">
      <c r="B123" s="1502"/>
      <c r="C123" s="1506" t="s">
        <v>1385</v>
      </c>
      <c r="D123" s="1508"/>
      <c r="E123" s="1508"/>
      <c r="F123" s="1509"/>
      <c r="G123" s="1505">
        <v>230675</v>
      </c>
      <c r="H123" s="1505">
        <v>253905</v>
      </c>
      <c r="I123" s="1505">
        <v>253905</v>
      </c>
      <c r="J123" s="1359">
        <f t="shared" si="8"/>
        <v>100</v>
      </c>
      <c r="K123" s="433"/>
      <c r="L123" s="433"/>
      <c r="M123" s="433"/>
      <c r="N123" s="489"/>
      <c r="O123" s="490"/>
      <c r="P123" s="490"/>
      <c r="Q123" s="499"/>
    </row>
    <row r="124" spans="2:17" s="28" customFormat="1" ht="29.25" customHeight="1" x14ac:dyDescent="0.3">
      <c r="B124" s="1502"/>
      <c r="C124" s="1506" t="s">
        <v>128</v>
      </c>
      <c r="D124" s="1508"/>
      <c r="E124" s="1508"/>
      <c r="F124" s="1509"/>
      <c r="G124" s="1505">
        <v>49527</v>
      </c>
      <c r="H124" s="1505">
        <f>43543-3</f>
        <v>43540</v>
      </c>
      <c r="I124" s="1505">
        <v>43613</v>
      </c>
      <c r="J124" s="1359">
        <f t="shared" si="8"/>
        <v>100.1676619200735</v>
      </c>
      <c r="K124" s="433"/>
      <c r="L124" s="433"/>
      <c r="M124" s="433"/>
      <c r="N124" s="489"/>
      <c r="O124" s="490"/>
      <c r="P124" s="490"/>
      <c r="Q124" s="499"/>
    </row>
    <row r="125" spans="2:17" s="28" customFormat="1" ht="29.25" customHeight="1" x14ac:dyDescent="0.3">
      <c r="B125" s="1502"/>
      <c r="C125" s="1506" t="s">
        <v>129</v>
      </c>
      <c r="D125" s="1508"/>
      <c r="E125" s="1508"/>
      <c r="F125" s="1509"/>
      <c r="G125" s="1505">
        <v>142894</v>
      </c>
      <c r="H125" s="1505">
        <v>147123</v>
      </c>
      <c r="I125" s="1505">
        <v>147123</v>
      </c>
      <c r="J125" s="1359">
        <f t="shared" si="8"/>
        <v>100</v>
      </c>
      <c r="K125" s="433"/>
      <c r="L125" s="433"/>
      <c r="M125" s="433"/>
      <c r="N125" s="489"/>
      <c r="O125" s="490"/>
      <c r="P125" s="490"/>
      <c r="Q125" s="499"/>
    </row>
    <row r="126" spans="2:17" s="110" customFormat="1" ht="29.25" customHeight="1" x14ac:dyDescent="0.3">
      <c r="B126" s="1511"/>
      <c r="C126" s="1512"/>
      <c r="D126" s="1513"/>
      <c r="E126" s="1513" t="s">
        <v>275</v>
      </c>
      <c r="F126" s="1514"/>
      <c r="G126" s="1515">
        <f>SUM(G115:G125)</f>
        <v>1536731</v>
      </c>
      <c r="H126" s="1515">
        <f>SUM(H115:H125)</f>
        <v>1727271</v>
      </c>
      <c r="I126" s="1515">
        <f>SUM(I115:I125)</f>
        <v>1726352</v>
      </c>
      <c r="J126" s="1363">
        <f t="shared" si="8"/>
        <v>99.946794683636782</v>
      </c>
      <c r="K126" s="182"/>
      <c r="L126" s="182"/>
      <c r="M126" s="182"/>
      <c r="N126" s="498"/>
      <c r="O126" s="499"/>
      <c r="P126" s="499"/>
      <c r="Q126" s="496"/>
    </row>
    <row r="127" spans="2:17" s="28" customFormat="1" ht="29.25" customHeight="1" x14ac:dyDescent="0.3">
      <c r="B127" s="1502"/>
      <c r="C127" s="1506" t="s">
        <v>116</v>
      </c>
      <c r="D127" s="1508"/>
      <c r="E127" s="1508"/>
      <c r="F127" s="1509"/>
      <c r="G127" s="1448"/>
      <c r="H127" s="1448">
        <v>1010</v>
      </c>
      <c r="I127" s="1448">
        <v>1205</v>
      </c>
      <c r="J127" s="1516">
        <f t="shared" si="8"/>
        <v>119.3069306930693</v>
      </c>
      <c r="K127" s="433"/>
      <c r="L127" s="433"/>
      <c r="M127" s="433"/>
      <c r="N127" s="498"/>
      <c r="O127" s="499"/>
      <c r="P127" s="499"/>
      <c r="Q127" s="499"/>
    </row>
    <row r="128" spans="2:17" s="28" customFormat="1" ht="29.25" customHeight="1" x14ac:dyDescent="0.3">
      <c r="B128" s="1502"/>
      <c r="C128" s="1503" t="s">
        <v>87</v>
      </c>
      <c r="D128" s="1462"/>
      <c r="E128" s="1462"/>
      <c r="F128" s="1504"/>
      <c r="G128" s="1517">
        <v>16790</v>
      </c>
      <c r="H128" s="1517">
        <v>39356</v>
      </c>
      <c r="I128" s="1517">
        <v>37881</v>
      </c>
      <c r="J128" s="1516">
        <f t="shared" si="8"/>
        <v>96.252159772334593</v>
      </c>
      <c r="K128" s="433"/>
      <c r="L128" s="433"/>
      <c r="M128" s="433"/>
      <c r="N128" s="498"/>
      <c r="O128" s="499"/>
      <c r="P128" s="499"/>
      <c r="Q128" s="499"/>
    </row>
    <row r="129" spans="2:16" ht="29.25" customHeight="1" thickBot="1" x14ac:dyDescent="0.35">
      <c r="B129" s="1476" t="s">
        <v>1386</v>
      </c>
      <c r="C129" s="1518"/>
      <c r="D129" s="1478"/>
      <c r="E129" s="1478"/>
      <c r="F129" s="1478"/>
      <c r="G129" s="1497">
        <f>+G126+G127+G128</f>
        <v>1553521</v>
      </c>
      <c r="H129" s="1497">
        <f>+H126+H127+H128</f>
        <v>1767637</v>
      </c>
      <c r="I129" s="1497">
        <f>+I126+I127+I128</f>
        <v>1765438</v>
      </c>
      <c r="J129" s="1480">
        <f>+I129/H129*100</f>
        <v>99.875596629851032</v>
      </c>
      <c r="N129" s="498"/>
      <c r="O129" s="499"/>
      <c r="P129" s="499"/>
    </row>
    <row r="130" spans="2:16" ht="29.25" customHeight="1" thickBot="1" x14ac:dyDescent="0.35">
      <c r="B130" s="1476" t="s">
        <v>571</v>
      </c>
      <c r="C130" s="1518"/>
      <c r="D130" s="1477"/>
      <c r="E130" s="1477"/>
      <c r="F130" s="1477"/>
      <c r="G130" s="1519">
        <f>+G53+G113+G103+G70+G129</f>
        <v>15238933</v>
      </c>
      <c r="H130" s="1519">
        <f>+H53+H113+H103+H70+H129</f>
        <v>17162353</v>
      </c>
      <c r="I130" s="1519">
        <f>+I53+I113+I103+I70+I129</f>
        <v>16679326</v>
      </c>
      <c r="J130" s="1519">
        <f>+J53+J113+J103+J70+J129</f>
        <v>423.19508428689181</v>
      </c>
      <c r="N130" s="498"/>
      <c r="O130" s="499"/>
      <c r="P130" s="499"/>
    </row>
    <row r="131" spans="2:16" ht="21" customHeight="1" x14ac:dyDescent="0.3">
      <c r="N131" s="498"/>
      <c r="O131" s="499"/>
      <c r="P131" s="499"/>
    </row>
    <row r="132" spans="2:16" ht="21" customHeight="1" x14ac:dyDescent="0.3">
      <c r="I132" s="262"/>
      <c r="N132" s="498"/>
      <c r="O132" s="499"/>
      <c r="P132" s="499"/>
    </row>
    <row r="133" spans="2:16" ht="21" customHeight="1" x14ac:dyDescent="0.3">
      <c r="I133" s="262"/>
      <c r="N133" s="498"/>
      <c r="O133" s="499"/>
      <c r="P133" s="499"/>
    </row>
    <row r="134" spans="2:16" ht="21" customHeight="1" x14ac:dyDescent="0.3">
      <c r="I134" s="262"/>
      <c r="N134" s="498"/>
      <c r="O134" s="499"/>
      <c r="P134" s="499"/>
    </row>
    <row r="135" spans="2:16" ht="21" customHeight="1" x14ac:dyDescent="0.3">
      <c r="I135" s="262"/>
      <c r="N135" s="498"/>
      <c r="O135" s="499"/>
      <c r="P135" s="499"/>
    </row>
    <row r="136" spans="2:16" ht="21" customHeight="1" x14ac:dyDescent="0.3">
      <c r="I136" s="262"/>
      <c r="N136" s="498"/>
      <c r="O136" s="499"/>
      <c r="P136" s="499"/>
    </row>
    <row r="137" spans="2:16" ht="21" customHeight="1" x14ac:dyDescent="0.3">
      <c r="I137" s="262"/>
      <c r="N137" s="500"/>
      <c r="O137" s="496"/>
      <c r="P137" s="496"/>
    </row>
    <row r="138" spans="2:16" ht="21" customHeight="1" x14ac:dyDescent="0.3">
      <c r="I138" s="262"/>
      <c r="N138" s="498"/>
      <c r="O138" s="499"/>
      <c r="P138" s="499"/>
    </row>
    <row r="139" spans="2:16" ht="21" customHeight="1" x14ac:dyDescent="0.3">
      <c r="I139" s="262"/>
      <c r="N139" s="498"/>
      <c r="O139" s="499"/>
      <c r="P139" s="499"/>
    </row>
    <row r="142" spans="2:16" ht="21" customHeight="1" x14ac:dyDescent="0.3">
      <c r="I142" s="262"/>
    </row>
    <row r="143" spans="2:16" ht="21" customHeight="1" x14ac:dyDescent="0.3">
      <c r="I143" s="262"/>
    </row>
    <row r="144" spans="2:16" ht="21" customHeight="1" x14ac:dyDescent="0.3">
      <c r="I144" s="262"/>
    </row>
    <row r="145" spans="9:9" ht="21" customHeight="1" x14ac:dyDescent="0.3">
      <c r="I145" s="262"/>
    </row>
    <row r="146" spans="9:9" ht="21" customHeight="1" x14ac:dyDescent="0.3">
      <c r="I146" s="262"/>
    </row>
  </sheetData>
  <mergeCells count="22">
    <mergeCell ref="D50:F50"/>
    <mergeCell ref="D52:F52"/>
    <mergeCell ref="D48:F48"/>
    <mergeCell ref="B1:F1"/>
    <mergeCell ref="C12:F12"/>
    <mergeCell ref="D46:F46"/>
    <mergeCell ref="D42:F42"/>
    <mergeCell ref="B2:J2"/>
    <mergeCell ref="G5:H5"/>
    <mergeCell ref="D23:F23"/>
    <mergeCell ref="C37:F37"/>
    <mergeCell ref="D44:F44"/>
    <mergeCell ref="D24:F24"/>
    <mergeCell ref="C122:F122"/>
    <mergeCell ref="D100:F100"/>
    <mergeCell ref="D101:F101"/>
    <mergeCell ref="D108:F108"/>
    <mergeCell ref="D107:F107"/>
    <mergeCell ref="D110:F110"/>
    <mergeCell ref="D106:F106"/>
    <mergeCell ref="D109:F109"/>
    <mergeCell ref="C105:F105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&amp;18 &amp;20 3. melléklet</oddHeader>
  </headerFooter>
  <rowBreaks count="2" manualBreakCount="2">
    <brk id="53" min="1" max="9" man="1"/>
    <brk id="103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3"/>
  <sheetViews>
    <sheetView zoomScale="55" zoomScaleNormal="55" zoomScaleSheetLayoutView="50" workbookViewId="0">
      <selection activeCell="B1" sqref="B1:E1"/>
    </sheetView>
  </sheetViews>
  <sheetFormatPr defaultColWidth="12" defaultRowHeight="33" x14ac:dyDescent="0.45"/>
  <cols>
    <col min="1" max="1" width="12" style="1163"/>
    <col min="2" max="2" width="104.1640625" style="1161" customWidth="1"/>
    <col min="3" max="3" width="100.6640625" style="1175" customWidth="1"/>
    <col min="4" max="4" width="52.83203125" style="1175" customWidth="1"/>
    <col min="5" max="5" width="12" style="1163"/>
    <col min="6" max="6" width="30.6640625" style="2287" customWidth="1"/>
    <col min="7" max="7" width="26" style="1163" customWidth="1"/>
    <col min="8" max="8" width="18.83203125" style="1163" bestFit="1" customWidth="1"/>
    <col min="9" max="9" width="12.1640625" style="1163" bestFit="1" customWidth="1"/>
    <col min="10" max="16384" width="12" style="1163"/>
  </cols>
  <sheetData>
    <row r="1" spans="2:7" ht="18.75" customHeight="1" x14ac:dyDescent="0.45">
      <c r="C1" s="1162"/>
      <c r="D1" s="1162"/>
    </row>
    <row r="2" spans="2:7" ht="18.75" customHeight="1" x14ac:dyDescent="0.45">
      <c r="B2" s="1165"/>
      <c r="C2" s="1162"/>
      <c r="D2" s="1162"/>
    </row>
    <row r="3" spans="2:7" s="1166" customFormat="1" ht="33.75" customHeight="1" x14ac:dyDescent="0.5">
      <c r="B3" s="2871" t="s">
        <v>1930</v>
      </c>
      <c r="C3" s="2871"/>
      <c r="D3" s="2871"/>
      <c r="F3" s="2287"/>
    </row>
    <row r="4" spans="2:7" s="1168" customFormat="1" ht="40.5" customHeight="1" x14ac:dyDescent="0.5">
      <c r="B4" s="2871" t="s">
        <v>1867</v>
      </c>
      <c r="C4" s="2871"/>
      <c r="D4" s="2871"/>
      <c r="F4" s="2287"/>
    </row>
    <row r="5" spans="2:7" ht="43.5" customHeight="1" thickBot="1" x14ac:dyDescent="0.5"/>
    <row r="6" spans="2:7" s="1176" customFormat="1" ht="37.5" customHeight="1" x14ac:dyDescent="0.4">
      <c r="B6" s="2066" t="s">
        <v>1088</v>
      </c>
      <c r="C6" s="2288" t="s">
        <v>1177</v>
      </c>
      <c r="D6" s="1169" t="s">
        <v>1090</v>
      </c>
      <c r="F6" s="2289"/>
    </row>
    <row r="7" spans="2:7" s="1176" customFormat="1" ht="25.5" customHeight="1" x14ac:dyDescent="0.4">
      <c r="B7" s="2290"/>
      <c r="C7" s="2291"/>
      <c r="D7" s="1171" t="s">
        <v>38</v>
      </c>
      <c r="F7" s="2289"/>
    </row>
    <row r="8" spans="2:7" s="1176" customFormat="1" ht="26.25" customHeight="1" x14ac:dyDescent="0.4">
      <c r="B8" s="2290"/>
      <c r="C8" s="2291"/>
      <c r="D8" s="1171"/>
      <c r="F8" s="2289"/>
    </row>
    <row r="9" spans="2:7" ht="35.1" customHeight="1" thickBot="1" x14ac:dyDescent="0.45">
      <c r="B9" s="2292" t="s">
        <v>1091</v>
      </c>
      <c r="C9" s="1177"/>
      <c r="D9" s="2293"/>
      <c r="F9" s="2289"/>
    </row>
    <row r="10" spans="2:7" ht="33.75" customHeight="1" x14ac:dyDescent="0.35">
      <c r="B10" s="2872" t="s">
        <v>1868</v>
      </c>
      <c r="C10" s="2294" t="s">
        <v>1869</v>
      </c>
      <c r="D10" s="2295">
        <v>500</v>
      </c>
      <c r="F10" s="2289"/>
      <c r="G10" s="2289"/>
    </row>
    <row r="11" spans="2:7" ht="33.75" customHeight="1" x14ac:dyDescent="0.35">
      <c r="B11" s="2873"/>
      <c r="C11" s="2275" t="s">
        <v>1870</v>
      </c>
      <c r="D11" s="2296">
        <v>300</v>
      </c>
      <c r="F11" s="2297"/>
      <c r="G11" s="2297"/>
    </row>
    <row r="12" spans="2:7" ht="33.75" customHeight="1" x14ac:dyDescent="0.35">
      <c r="B12" s="2298" t="s">
        <v>1107</v>
      </c>
      <c r="C12" s="2275" t="s">
        <v>1871</v>
      </c>
      <c r="D12" s="2296">
        <v>269.875</v>
      </c>
      <c r="F12" s="2299"/>
      <c r="G12" s="2299"/>
    </row>
    <row r="13" spans="2:7" ht="33.75" customHeight="1" x14ac:dyDescent="0.35">
      <c r="B13" s="2300" t="s">
        <v>1092</v>
      </c>
      <c r="C13" s="2275" t="s">
        <v>1871</v>
      </c>
      <c r="D13" s="2296">
        <v>230.63200000000001</v>
      </c>
      <c r="F13" s="2299"/>
      <c r="G13" s="2299"/>
    </row>
    <row r="14" spans="2:7" ht="33.75" customHeight="1" x14ac:dyDescent="0.35">
      <c r="B14" s="2874" t="s">
        <v>1178</v>
      </c>
      <c r="C14" s="2275" t="s">
        <v>1872</v>
      </c>
      <c r="D14" s="2296">
        <v>596.94200000000001</v>
      </c>
      <c r="F14" s="2299"/>
      <c r="G14" s="2299"/>
    </row>
    <row r="15" spans="2:7" ht="33.75" customHeight="1" x14ac:dyDescent="0.35">
      <c r="B15" s="2875"/>
      <c r="C15" s="2275" t="s">
        <v>1873</v>
      </c>
      <c r="D15" s="2296">
        <v>1254.848</v>
      </c>
      <c r="F15" s="2299"/>
      <c r="G15" s="2299"/>
    </row>
    <row r="16" spans="2:7" ht="33.75" customHeight="1" x14ac:dyDescent="0.35">
      <c r="B16" s="2301" t="s">
        <v>1179</v>
      </c>
      <c r="C16" s="2275" t="s">
        <v>1871</v>
      </c>
      <c r="D16" s="2296">
        <v>216.916</v>
      </c>
      <c r="F16" s="2299"/>
      <c r="G16" s="2299"/>
    </row>
    <row r="17" spans="2:7" ht="33.75" customHeight="1" x14ac:dyDescent="0.35">
      <c r="B17" s="2302" t="s">
        <v>1180</v>
      </c>
      <c r="C17" s="2275" t="s">
        <v>1871</v>
      </c>
      <c r="D17" s="2296">
        <v>156.21</v>
      </c>
      <c r="F17" s="2299"/>
      <c r="G17" s="2299"/>
    </row>
    <row r="18" spans="2:7" ht="33.75" customHeight="1" x14ac:dyDescent="0.35">
      <c r="B18" s="2298" t="s">
        <v>1104</v>
      </c>
      <c r="C18" s="2275" t="s">
        <v>1871</v>
      </c>
      <c r="D18" s="2296">
        <v>117.42400000000001</v>
      </c>
      <c r="F18" s="2299"/>
      <c r="G18" s="2299"/>
    </row>
    <row r="19" spans="2:7" ht="33.75" customHeight="1" x14ac:dyDescent="0.35">
      <c r="B19" s="2298" t="s">
        <v>1098</v>
      </c>
      <c r="C19" s="2275" t="s">
        <v>1874</v>
      </c>
      <c r="D19" s="2296">
        <v>7366</v>
      </c>
      <c r="F19" s="2299"/>
      <c r="G19" s="2299"/>
    </row>
    <row r="20" spans="2:7" ht="33.75" customHeight="1" x14ac:dyDescent="0.35">
      <c r="B20" s="2303" t="s">
        <v>1108</v>
      </c>
      <c r="C20" s="2275" t="s">
        <v>1871</v>
      </c>
      <c r="D20" s="2296">
        <v>236.15600000000001</v>
      </c>
      <c r="F20" s="2299"/>
      <c r="G20" s="2299"/>
    </row>
    <row r="21" spans="2:7" ht="33.75" customHeight="1" x14ac:dyDescent="0.35">
      <c r="B21" s="2303" t="s">
        <v>1102</v>
      </c>
      <c r="C21" s="2275" t="s">
        <v>1871</v>
      </c>
      <c r="D21" s="2296">
        <v>252.857</v>
      </c>
      <c r="F21" s="2299"/>
      <c r="G21" s="2299"/>
    </row>
    <row r="22" spans="2:7" ht="33.75" customHeight="1" thickBot="1" x14ac:dyDescent="0.4">
      <c r="B22" s="2304" t="s">
        <v>1103</v>
      </c>
      <c r="C22" s="2305" t="s">
        <v>1875</v>
      </c>
      <c r="D22" s="2306">
        <v>15354.94</v>
      </c>
      <c r="F22" s="2299"/>
      <c r="G22" s="2299"/>
    </row>
    <row r="23" spans="2:7" ht="33.75" customHeight="1" x14ac:dyDescent="0.35">
      <c r="B23" s="2876" t="s">
        <v>1100</v>
      </c>
      <c r="C23" s="2307" t="s">
        <v>1871</v>
      </c>
      <c r="D23" s="2258">
        <v>241.80799999999999</v>
      </c>
      <c r="F23" s="2299"/>
      <c r="G23" s="2299"/>
    </row>
    <row r="24" spans="2:7" ht="33.75" customHeight="1" x14ac:dyDescent="0.35">
      <c r="B24" s="2877"/>
      <c r="C24" s="2275" t="s">
        <v>1876</v>
      </c>
      <c r="D24" s="2253">
        <v>3785.9720000000002</v>
      </c>
      <c r="F24" s="2299"/>
      <c r="G24" s="2299"/>
    </row>
    <row r="25" spans="2:7" ht="33.75" customHeight="1" x14ac:dyDescent="0.35">
      <c r="B25" s="2877"/>
      <c r="C25" s="2275" t="s">
        <v>1877</v>
      </c>
      <c r="D25" s="2253">
        <v>1343.66</v>
      </c>
      <c r="F25" s="2299"/>
      <c r="G25" s="2299"/>
    </row>
    <row r="26" spans="2:7" ht="33.75" customHeight="1" x14ac:dyDescent="0.35">
      <c r="B26" s="2877"/>
      <c r="C26" s="2275" t="s">
        <v>1878</v>
      </c>
      <c r="D26" s="2253">
        <v>106.68</v>
      </c>
      <c r="F26" s="2299"/>
      <c r="G26" s="2299"/>
    </row>
    <row r="27" spans="2:7" ht="33.75" customHeight="1" thickBot="1" x14ac:dyDescent="0.4">
      <c r="B27" s="2878"/>
      <c r="C27" s="2308" t="s">
        <v>1879</v>
      </c>
      <c r="D27" s="2260">
        <v>1299.77</v>
      </c>
      <c r="F27" s="2299"/>
      <c r="G27" s="2299"/>
    </row>
    <row r="28" spans="2:7" ht="33.75" customHeight="1" thickBot="1" x14ac:dyDescent="0.4">
      <c r="B28" s="2309" t="s">
        <v>1880</v>
      </c>
      <c r="C28" s="2276" t="s">
        <v>1871</v>
      </c>
      <c r="D28" s="2271">
        <v>177.03800000000001</v>
      </c>
      <c r="F28" s="2299"/>
      <c r="G28" s="2299"/>
    </row>
    <row r="29" spans="2:7" ht="33.75" customHeight="1" x14ac:dyDescent="0.35">
      <c r="B29" s="2876" t="s">
        <v>1109</v>
      </c>
      <c r="C29" s="2273" t="s">
        <v>1881</v>
      </c>
      <c r="D29" s="2252">
        <v>660.4</v>
      </c>
      <c r="F29" s="2299"/>
      <c r="G29" s="2299"/>
    </row>
    <row r="30" spans="2:7" ht="33.75" customHeight="1" thickBot="1" x14ac:dyDescent="0.4">
      <c r="B30" s="2878"/>
      <c r="C30" s="2308" t="s">
        <v>1871</v>
      </c>
      <c r="D30" s="2260">
        <v>242</v>
      </c>
      <c r="F30" s="2299"/>
      <c r="G30" s="2299"/>
    </row>
    <row r="31" spans="2:7" ht="33.75" customHeight="1" x14ac:dyDescent="0.35">
      <c r="B31" s="2876" t="s">
        <v>1110</v>
      </c>
      <c r="C31" s="2307" t="s">
        <v>1871</v>
      </c>
      <c r="D31" s="2256">
        <v>68.072000000000003</v>
      </c>
      <c r="F31" s="2299"/>
      <c r="G31" s="2299"/>
    </row>
    <row r="32" spans="2:7" ht="33.75" customHeight="1" thickBot="1" x14ac:dyDescent="0.4">
      <c r="B32" s="2878"/>
      <c r="C32" s="2308" t="s">
        <v>1882</v>
      </c>
      <c r="D32" s="2260">
        <v>10216.763000000001</v>
      </c>
      <c r="F32" s="2299"/>
      <c r="G32" s="2299"/>
    </row>
    <row r="33" spans="2:7" ht="33.75" customHeight="1" thickBot="1" x14ac:dyDescent="0.4">
      <c r="B33" s="2310" t="s">
        <v>1883</v>
      </c>
      <c r="C33" s="2277" t="s">
        <v>1871</v>
      </c>
      <c r="D33" s="2255">
        <v>89.915999999999997</v>
      </c>
      <c r="F33" s="2299"/>
      <c r="G33" s="2299"/>
    </row>
    <row r="34" spans="2:7" s="2263" customFormat="1" ht="33.75" customHeight="1" thickBot="1" x14ac:dyDescent="0.45">
      <c r="B34" s="2311" t="s">
        <v>1113</v>
      </c>
      <c r="C34" s="2312"/>
      <c r="D34" s="2313">
        <v>45084.879000000001</v>
      </c>
      <c r="F34" s="2314"/>
      <c r="G34" s="2314"/>
    </row>
    <row r="35" spans="2:7" s="2263" customFormat="1" ht="33.75" customHeight="1" x14ac:dyDescent="0.4">
      <c r="B35" s="2272" t="s">
        <v>270</v>
      </c>
      <c r="C35" s="2273" t="s">
        <v>1884</v>
      </c>
      <c r="D35" s="2295">
        <f>37+37</f>
        <v>74</v>
      </c>
      <c r="F35" s="2314"/>
      <c r="G35" s="2314"/>
    </row>
    <row r="36" spans="2:7" s="2263" customFormat="1" ht="33.75" customHeight="1" x14ac:dyDescent="0.4">
      <c r="B36" s="2274"/>
      <c r="C36" s="2307" t="s">
        <v>1186</v>
      </c>
      <c r="D36" s="2315">
        <v>23.888000000000002</v>
      </c>
      <c r="F36" s="2314"/>
      <c r="G36" s="2314"/>
    </row>
    <row r="37" spans="2:7" s="2263" customFormat="1" ht="33.75" customHeight="1" x14ac:dyDescent="0.4">
      <c r="B37" s="2274"/>
      <c r="C37" s="2307" t="s">
        <v>1885</v>
      </c>
      <c r="D37" s="2315">
        <v>689.96299999999997</v>
      </c>
      <c r="F37" s="2314"/>
      <c r="G37" s="2314"/>
    </row>
    <row r="38" spans="2:7" s="2263" customFormat="1" ht="33.75" customHeight="1" x14ac:dyDescent="0.4">
      <c r="B38" s="2274"/>
      <c r="C38" s="2307" t="s">
        <v>1874</v>
      </c>
      <c r="D38" s="2315">
        <v>57.15</v>
      </c>
      <c r="F38" s="2314"/>
      <c r="G38" s="2314"/>
    </row>
    <row r="39" spans="2:7" s="2263" customFormat="1" ht="33.75" customHeight="1" x14ac:dyDescent="0.4">
      <c r="B39" s="2274"/>
      <c r="C39" s="2307" t="s">
        <v>1886</v>
      </c>
      <c r="D39" s="2315">
        <v>2579.2429999999999</v>
      </c>
      <c r="F39" s="2314"/>
      <c r="G39" s="2314"/>
    </row>
    <row r="40" spans="2:7" s="2263" customFormat="1" ht="33.75" customHeight="1" x14ac:dyDescent="0.4">
      <c r="B40" s="2316"/>
      <c r="C40" s="2275" t="s">
        <v>1887</v>
      </c>
      <c r="D40" s="2296">
        <v>1244.5999999999999</v>
      </c>
      <c r="F40" s="2314"/>
      <c r="G40" s="2314"/>
    </row>
    <row r="41" spans="2:7" s="2263" customFormat="1" ht="33.75" customHeight="1" thickBot="1" x14ac:dyDescent="0.4">
      <c r="B41" s="2259"/>
      <c r="C41" s="2275" t="s">
        <v>1888</v>
      </c>
      <c r="D41" s="2296">
        <v>4744.3389999999999</v>
      </c>
      <c r="F41" s="2299"/>
      <c r="G41" s="2299"/>
    </row>
    <row r="42" spans="2:7" s="2317" customFormat="1" ht="33.75" customHeight="1" x14ac:dyDescent="0.35">
      <c r="B42" s="2866" t="s">
        <v>1182</v>
      </c>
      <c r="C42" s="2273" t="s">
        <v>1889</v>
      </c>
      <c r="D42" s="2295">
        <v>130.21299999999999</v>
      </c>
      <c r="F42" s="2318"/>
      <c r="G42" s="2318"/>
    </row>
    <row r="43" spans="2:7" s="2317" customFormat="1" ht="33.75" customHeight="1" thickBot="1" x14ac:dyDescent="0.4">
      <c r="B43" s="2867"/>
      <c r="C43" s="2277" t="s">
        <v>1890</v>
      </c>
      <c r="D43" s="2319">
        <v>1244.239</v>
      </c>
      <c r="F43" s="2318"/>
      <c r="G43" s="2318"/>
    </row>
    <row r="44" spans="2:7" s="2317" customFormat="1" ht="33.75" customHeight="1" x14ac:dyDescent="0.35">
      <c r="B44" s="2866" t="s">
        <v>1184</v>
      </c>
      <c r="C44" s="2273" t="s">
        <v>1889</v>
      </c>
      <c r="D44" s="2295">
        <v>69.915000000000006</v>
      </c>
      <c r="F44" s="2318"/>
      <c r="G44" s="2318"/>
    </row>
    <row r="45" spans="2:7" s="2317" customFormat="1" ht="33.75" customHeight="1" thickBot="1" x14ac:dyDescent="0.4">
      <c r="B45" s="2867"/>
      <c r="C45" s="2307" t="s">
        <v>1891</v>
      </c>
      <c r="D45" s="2319">
        <v>4497.8819999999996</v>
      </c>
      <c r="F45" s="2318"/>
      <c r="G45" s="2318"/>
    </row>
    <row r="46" spans="2:7" ht="55.5" customHeight="1" thickBot="1" x14ac:dyDescent="0.4">
      <c r="B46" s="2320" t="s">
        <v>1185</v>
      </c>
      <c r="C46" s="2273" t="s">
        <v>1889</v>
      </c>
      <c r="D46" s="2295">
        <v>172.83799999999999</v>
      </c>
      <c r="F46" s="2299"/>
      <c r="G46" s="2299"/>
    </row>
    <row r="47" spans="2:7" ht="33.75" customHeight="1" x14ac:dyDescent="0.35">
      <c r="B47" s="2879" t="s">
        <v>1187</v>
      </c>
      <c r="C47" s="2273" t="s">
        <v>1889</v>
      </c>
      <c r="D47" s="2295">
        <v>236.49799999999999</v>
      </c>
      <c r="F47" s="2299"/>
      <c r="G47" s="2299"/>
    </row>
    <row r="48" spans="2:7" ht="33.75" customHeight="1" x14ac:dyDescent="0.35">
      <c r="B48" s="2880"/>
      <c r="C48" s="2307" t="s">
        <v>1892</v>
      </c>
      <c r="D48" s="2315">
        <v>2941.7289999999998</v>
      </c>
      <c r="F48" s="2299"/>
      <c r="G48" s="2299"/>
    </row>
    <row r="49" spans="2:7" ht="33.75" customHeight="1" thickBot="1" x14ac:dyDescent="0.4">
      <c r="B49" s="2881"/>
      <c r="C49" s="2277" t="s">
        <v>1893</v>
      </c>
      <c r="D49" s="2319">
        <v>16875.581999999999</v>
      </c>
      <c r="F49" s="2299"/>
      <c r="G49" s="2299"/>
    </row>
    <row r="50" spans="2:7" ht="33.75" customHeight="1" x14ac:dyDescent="0.35">
      <c r="B50" s="2879" t="s">
        <v>1122</v>
      </c>
      <c r="C50" s="2273" t="s">
        <v>1889</v>
      </c>
      <c r="D50" s="2295">
        <v>157.31</v>
      </c>
      <c r="F50" s="2299"/>
      <c r="G50" s="2299"/>
    </row>
    <row r="51" spans="2:7" ht="33.75" customHeight="1" thickBot="1" x14ac:dyDescent="0.4">
      <c r="B51" s="2881"/>
      <c r="C51" s="2321" t="s">
        <v>1894</v>
      </c>
      <c r="D51" s="2319">
        <v>2997.8919999999998</v>
      </c>
      <c r="F51" s="2299"/>
      <c r="G51" s="2299"/>
    </row>
    <row r="52" spans="2:7" ht="33.75" customHeight="1" x14ac:dyDescent="0.35">
      <c r="B52" s="2863" t="s">
        <v>1189</v>
      </c>
      <c r="C52" s="2273" t="s">
        <v>1181</v>
      </c>
      <c r="D52" s="2295">
        <v>3096.4940000000001</v>
      </c>
      <c r="F52" s="2299"/>
      <c r="G52" s="2299"/>
    </row>
    <row r="53" spans="2:7" ht="33.75" customHeight="1" x14ac:dyDescent="0.35">
      <c r="B53" s="2870"/>
      <c r="C53" s="2307" t="s">
        <v>1895</v>
      </c>
      <c r="D53" s="2296">
        <v>10433.776</v>
      </c>
      <c r="F53" s="2299"/>
      <c r="G53" s="2299"/>
    </row>
    <row r="54" spans="2:7" ht="33.75" customHeight="1" thickBot="1" x14ac:dyDescent="0.4">
      <c r="B54" s="2865"/>
      <c r="C54" s="2277" t="s">
        <v>1896</v>
      </c>
      <c r="D54" s="2319">
        <v>412.351</v>
      </c>
      <c r="F54" s="2299"/>
      <c r="G54" s="2299"/>
    </row>
    <row r="55" spans="2:7" ht="33.75" customHeight="1" x14ac:dyDescent="0.35">
      <c r="B55" s="2863" t="s">
        <v>1897</v>
      </c>
      <c r="C55" s="2294" t="s">
        <v>1898</v>
      </c>
      <c r="D55" s="2322">
        <v>1837.0360000000001</v>
      </c>
      <c r="F55" s="2299"/>
      <c r="G55" s="2299"/>
    </row>
    <row r="56" spans="2:7" ht="33.75" customHeight="1" x14ac:dyDescent="0.35">
      <c r="B56" s="2864"/>
      <c r="C56" s="2275" t="s">
        <v>1899</v>
      </c>
      <c r="D56" s="2296">
        <v>2753.4349999999999</v>
      </c>
      <c r="F56" s="2299"/>
      <c r="G56" s="2299"/>
    </row>
    <row r="57" spans="2:7" ht="33.75" customHeight="1" thickBot="1" x14ac:dyDescent="0.4">
      <c r="B57" s="2865"/>
      <c r="C57" s="2277" t="s">
        <v>1900</v>
      </c>
      <c r="D57" s="2322">
        <v>466.79399999999998</v>
      </c>
      <c r="F57" s="2299"/>
      <c r="G57" s="2299"/>
    </row>
    <row r="58" spans="2:7" ht="33.75" customHeight="1" x14ac:dyDescent="0.35">
      <c r="B58" s="2866" t="s">
        <v>1120</v>
      </c>
      <c r="C58" s="2273" t="s">
        <v>1889</v>
      </c>
      <c r="D58" s="2295">
        <v>136.779</v>
      </c>
      <c r="F58" s="2299"/>
      <c r="G58" s="2299"/>
    </row>
    <row r="59" spans="2:7" ht="33.75" customHeight="1" thickBot="1" x14ac:dyDescent="0.4">
      <c r="B59" s="2867"/>
      <c r="C59" s="2307" t="s">
        <v>1890</v>
      </c>
      <c r="D59" s="2319">
        <v>467.22199999999998</v>
      </c>
      <c r="F59" s="2299"/>
      <c r="G59" s="2299"/>
    </row>
    <row r="60" spans="2:7" ht="51.75" customHeight="1" thickBot="1" x14ac:dyDescent="0.4">
      <c r="B60" s="2323" t="s">
        <v>1190</v>
      </c>
      <c r="C60" s="2273" t="s">
        <v>1889</v>
      </c>
      <c r="D60" s="2324">
        <v>27.356000000000002</v>
      </c>
      <c r="F60" s="2299"/>
      <c r="G60" s="2299"/>
    </row>
    <row r="61" spans="2:7" ht="33.75" customHeight="1" x14ac:dyDescent="0.35">
      <c r="B61" s="2866" t="s">
        <v>1191</v>
      </c>
      <c r="C61" s="2273" t="s">
        <v>1889</v>
      </c>
      <c r="D61" s="2295">
        <v>397.995</v>
      </c>
      <c r="F61" s="2299"/>
      <c r="G61" s="2299"/>
    </row>
    <row r="62" spans="2:7" ht="33.75" customHeight="1" thickBot="1" x14ac:dyDescent="0.4">
      <c r="B62" s="2868"/>
      <c r="C62" s="2325" t="s">
        <v>1901</v>
      </c>
      <c r="D62" s="2306">
        <v>6079.7719999999999</v>
      </c>
      <c r="F62" s="2299"/>
      <c r="G62" s="2299"/>
    </row>
    <row r="63" spans="2:7" ht="33.75" customHeight="1" x14ac:dyDescent="0.35">
      <c r="B63" s="2866" t="s">
        <v>1902</v>
      </c>
      <c r="C63" s="2273" t="s">
        <v>1889</v>
      </c>
      <c r="D63" s="2256">
        <v>252.922</v>
      </c>
      <c r="F63" s="2299"/>
      <c r="G63" s="2326"/>
    </row>
    <row r="64" spans="2:7" ht="33.75" customHeight="1" x14ac:dyDescent="0.35">
      <c r="B64" s="2869"/>
      <c r="C64" s="2281" t="s">
        <v>1903</v>
      </c>
      <c r="D64" s="2253">
        <v>1196.3589999999999</v>
      </c>
      <c r="F64" s="2299"/>
      <c r="G64" s="2326"/>
    </row>
    <row r="65" spans="2:7" ht="33.75" customHeight="1" thickBot="1" x14ac:dyDescent="0.4">
      <c r="B65" s="2867"/>
      <c r="C65" s="2281" t="s">
        <v>1904</v>
      </c>
      <c r="D65" s="2260">
        <v>213.91399999999999</v>
      </c>
      <c r="F65" s="2299"/>
      <c r="G65" s="2326"/>
    </row>
    <row r="66" spans="2:7" ht="33.75" customHeight="1" x14ac:dyDescent="0.35">
      <c r="B66" s="2866" t="s">
        <v>1123</v>
      </c>
      <c r="C66" s="2273" t="s">
        <v>1889</v>
      </c>
      <c r="D66" s="2256">
        <v>271.06900000000002</v>
      </c>
      <c r="F66" s="2299"/>
      <c r="G66" s="2326"/>
    </row>
    <row r="67" spans="2:7" ht="33.75" customHeight="1" x14ac:dyDescent="0.35">
      <c r="B67" s="2869"/>
      <c r="C67" s="2281" t="s">
        <v>1905</v>
      </c>
      <c r="D67" s="2253">
        <v>8830.4120000000003</v>
      </c>
      <c r="F67" s="2299"/>
      <c r="G67" s="2326"/>
    </row>
    <row r="68" spans="2:7" ht="33.75" customHeight="1" thickBot="1" x14ac:dyDescent="0.4">
      <c r="B68" s="2867"/>
      <c r="C68" s="2327" t="s">
        <v>1906</v>
      </c>
      <c r="D68" s="2260">
        <v>7117.8549999999996</v>
      </c>
      <c r="F68" s="2299"/>
      <c r="G68" s="2326"/>
    </row>
    <row r="69" spans="2:7" ht="38.25" customHeight="1" thickBot="1" x14ac:dyDescent="0.4">
      <c r="B69" s="2866" t="s">
        <v>1124</v>
      </c>
      <c r="C69" s="2264" t="s">
        <v>1907</v>
      </c>
      <c r="D69" s="2256">
        <v>2495.232</v>
      </c>
      <c r="F69" s="2299"/>
      <c r="G69" s="2326"/>
    </row>
    <row r="70" spans="2:7" ht="35.25" customHeight="1" thickBot="1" x14ac:dyDescent="0.4">
      <c r="B70" s="2867"/>
      <c r="C70" s="2273" t="s">
        <v>1908</v>
      </c>
      <c r="D70" s="2260">
        <v>135.149</v>
      </c>
      <c r="F70" s="2299"/>
      <c r="G70" s="2299"/>
    </row>
    <row r="71" spans="2:7" ht="47.25" customHeight="1" thickBot="1" x14ac:dyDescent="0.4">
      <c r="B71" s="2328" t="s">
        <v>1192</v>
      </c>
      <c r="C71" s="2329" t="s">
        <v>1895</v>
      </c>
      <c r="D71" s="2319">
        <v>8260.6509999999998</v>
      </c>
      <c r="F71" s="2299"/>
      <c r="G71" s="2326"/>
    </row>
    <row r="72" spans="2:7" ht="33.75" customHeight="1" thickBot="1" x14ac:dyDescent="0.4">
      <c r="B72" s="2853" t="s">
        <v>1909</v>
      </c>
      <c r="C72" s="2273" t="s">
        <v>1889</v>
      </c>
      <c r="D72" s="2295">
        <v>236.90799999999999</v>
      </c>
      <c r="F72" s="2299"/>
      <c r="G72" s="2326"/>
    </row>
    <row r="73" spans="2:7" ht="33.75" customHeight="1" x14ac:dyDescent="0.35">
      <c r="B73" s="2854"/>
      <c r="C73" s="2273" t="s">
        <v>1889</v>
      </c>
      <c r="D73" s="2296">
        <v>409.47399999999999</v>
      </c>
      <c r="F73" s="2299"/>
      <c r="G73" s="2326"/>
    </row>
    <row r="74" spans="2:7" ht="33.75" customHeight="1" x14ac:dyDescent="0.35">
      <c r="B74" s="2854"/>
      <c r="C74" s="2275" t="s">
        <v>1910</v>
      </c>
      <c r="D74" s="2296">
        <v>509.88499999999999</v>
      </c>
      <c r="F74" s="2299"/>
      <c r="G74" s="2326"/>
    </row>
    <row r="75" spans="2:7" ht="33.75" customHeight="1" x14ac:dyDescent="0.35">
      <c r="B75" s="2854"/>
      <c r="C75" s="2275" t="s">
        <v>1911</v>
      </c>
      <c r="D75" s="2296">
        <v>1961.2739999999999</v>
      </c>
      <c r="F75" s="2299"/>
      <c r="G75" s="2326"/>
    </row>
    <row r="76" spans="2:7" ht="33.75" customHeight="1" thickBot="1" x14ac:dyDescent="0.4">
      <c r="B76" s="2855"/>
      <c r="C76" s="2308" t="s">
        <v>1912</v>
      </c>
      <c r="D76" s="2306">
        <v>2785.4349999999999</v>
      </c>
      <c r="F76" s="2299"/>
      <c r="G76" s="2326"/>
    </row>
    <row r="77" spans="2:7" s="2263" customFormat="1" ht="33.75" customHeight="1" thickBot="1" x14ac:dyDescent="0.45">
      <c r="B77" s="2330" t="s">
        <v>1193</v>
      </c>
      <c r="C77" s="2312"/>
      <c r="D77" s="2331">
        <v>99522.362999999998</v>
      </c>
      <c r="F77" s="2314"/>
      <c r="G77" s="2314"/>
    </row>
    <row r="78" spans="2:7" s="2263" customFormat="1" ht="33.75" customHeight="1" thickBot="1" x14ac:dyDescent="0.45">
      <c r="B78" s="2332" t="s">
        <v>4</v>
      </c>
      <c r="C78" s="2333"/>
      <c r="D78" s="2334">
        <v>144607.242</v>
      </c>
      <c r="F78" s="2314"/>
      <c r="G78" s="2314"/>
    </row>
    <row r="79" spans="2:7" ht="33.75" customHeight="1" x14ac:dyDescent="0.35">
      <c r="B79" s="2335" t="s">
        <v>1128</v>
      </c>
      <c r="C79" s="2336"/>
      <c r="D79" s="2337"/>
      <c r="F79" s="2299"/>
      <c r="G79" s="2338"/>
    </row>
    <row r="80" spans="2:7" ht="33.75" customHeight="1" x14ac:dyDescent="0.35">
      <c r="B80" s="2339" t="s">
        <v>1129</v>
      </c>
      <c r="C80" s="2340" t="s">
        <v>110</v>
      </c>
      <c r="D80" s="2322" t="s">
        <v>110</v>
      </c>
      <c r="F80" s="2299"/>
      <c r="G80" s="2338"/>
    </row>
    <row r="81" spans="2:7" ht="33.75" customHeight="1" thickBot="1" x14ac:dyDescent="0.4">
      <c r="B81" s="2341"/>
      <c r="C81" s="2342"/>
      <c r="D81" s="2322" t="s">
        <v>110</v>
      </c>
      <c r="F81" s="2299"/>
      <c r="G81" s="2338"/>
    </row>
    <row r="82" spans="2:7" ht="33.75" customHeight="1" thickBot="1" x14ac:dyDescent="0.4">
      <c r="B82" s="2278" t="s">
        <v>1194</v>
      </c>
      <c r="C82" s="2257" t="s">
        <v>1913</v>
      </c>
      <c r="D82" s="2258">
        <v>999</v>
      </c>
      <c r="F82" s="2299"/>
      <c r="G82" s="2326"/>
    </row>
    <row r="83" spans="2:7" ht="33.75" customHeight="1" x14ac:dyDescent="0.35">
      <c r="B83" s="2856" t="s">
        <v>1136</v>
      </c>
      <c r="C83" s="2273" t="s">
        <v>1914</v>
      </c>
      <c r="D83" s="2256">
        <v>150</v>
      </c>
      <c r="F83" s="2299"/>
      <c r="G83" s="2326"/>
    </row>
    <row r="84" spans="2:7" ht="33.75" customHeight="1" thickBot="1" x14ac:dyDescent="0.4">
      <c r="B84" s="2857"/>
      <c r="C84" s="2308" t="s">
        <v>1915</v>
      </c>
      <c r="D84" s="2260">
        <v>338.57100000000003</v>
      </c>
      <c r="F84" s="2299"/>
      <c r="G84" s="2299"/>
    </row>
    <row r="85" spans="2:7" ht="33.75" customHeight="1" x14ac:dyDescent="0.35">
      <c r="B85" s="2858" t="s">
        <v>1140</v>
      </c>
      <c r="C85" s="2343" t="s">
        <v>1916</v>
      </c>
      <c r="D85" s="2344">
        <v>750.75</v>
      </c>
      <c r="F85" s="2299"/>
      <c r="G85" s="2326"/>
    </row>
    <row r="86" spans="2:7" ht="33.75" customHeight="1" x14ac:dyDescent="0.35">
      <c r="B86" s="2859"/>
      <c r="C86" s="2345" t="s">
        <v>1917</v>
      </c>
      <c r="D86" s="2346">
        <v>14.224</v>
      </c>
      <c r="F86" s="2299"/>
      <c r="G86" s="2326"/>
    </row>
    <row r="87" spans="2:7" ht="33.75" customHeight="1" thickBot="1" x14ac:dyDescent="0.4">
      <c r="B87" s="2860"/>
      <c r="C87" s="2305" t="s">
        <v>1918</v>
      </c>
      <c r="D87" s="2347">
        <v>3240</v>
      </c>
      <c r="F87" s="2299"/>
      <c r="G87" s="2299"/>
    </row>
    <row r="88" spans="2:7" ht="33.75" hidden="1" customHeight="1" x14ac:dyDescent="0.35">
      <c r="B88" s="2348"/>
      <c r="C88" s="2254"/>
      <c r="D88" s="2319"/>
      <c r="F88" s="2299"/>
      <c r="G88" s="2299"/>
    </row>
    <row r="89" spans="2:7" s="2263" customFormat="1" ht="33.75" customHeight="1" thickBot="1" x14ac:dyDescent="0.45">
      <c r="B89" s="2349" t="s">
        <v>1131</v>
      </c>
      <c r="C89" s="2350"/>
      <c r="D89" s="2262">
        <v>5492.5450000000001</v>
      </c>
      <c r="F89" s="2314"/>
      <c r="G89" s="2314"/>
    </row>
    <row r="90" spans="2:7" ht="33.75" customHeight="1" thickBot="1" x14ac:dyDescent="0.4">
      <c r="B90" s="2351" t="s">
        <v>1144</v>
      </c>
      <c r="C90" s="2352"/>
      <c r="D90" s="2258"/>
      <c r="F90" s="2299"/>
      <c r="G90" s="2338"/>
    </row>
    <row r="91" spans="2:7" ht="33.75" customHeight="1" x14ac:dyDescent="0.35">
      <c r="B91" s="2353" t="s">
        <v>1195</v>
      </c>
      <c r="C91" s="2294" t="s">
        <v>110</v>
      </c>
      <c r="D91" s="2337" t="s">
        <v>110</v>
      </c>
      <c r="F91" s="2299"/>
      <c r="G91" s="2338"/>
    </row>
    <row r="92" spans="2:7" ht="33.75" customHeight="1" x14ac:dyDescent="0.35">
      <c r="B92" s="2269" t="s">
        <v>1147</v>
      </c>
      <c r="C92" s="2275" t="s">
        <v>1919</v>
      </c>
      <c r="D92" s="2296">
        <v>1539</v>
      </c>
      <c r="F92" s="2299"/>
      <c r="G92" s="2299"/>
    </row>
    <row r="93" spans="2:7" ht="33.75" customHeight="1" x14ac:dyDescent="0.35">
      <c r="B93" s="2269" t="s">
        <v>1148</v>
      </c>
      <c r="C93" s="2345" t="s">
        <v>1920</v>
      </c>
      <c r="D93" s="2346">
        <v>6116</v>
      </c>
      <c r="F93" s="2299"/>
      <c r="G93" s="2299"/>
    </row>
    <row r="94" spans="2:7" s="2263" customFormat="1" ht="33.75" customHeight="1" thickBot="1" x14ac:dyDescent="0.45">
      <c r="B94" s="2349" t="s">
        <v>1131</v>
      </c>
      <c r="C94" s="2354"/>
      <c r="D94" s="2355">
        <v>7655</v>
      </c>
      <c r="F94" s="2314"/>
      <c r="G94" s="2314"/>
    </row>
    <row r="95" spans="2:7" ht="33.75" customHeight="1" x14ac:dyDescent="0.35">
      <c r="B95" s="2356" t="s">
        <v>1151</v>
      </c>
      <c r="C95" s="2357"/>
      <c r="D95" s="2337"/>
      <c r="F95" s="2299"/>
      <c r="G95" s="2338"/>
    </row>
    <row r="96" spans="2:7" ht="33.75" customHeight="1" x14ac:dyDescent="0.35">
      <c r="B96" s="2358" t="s">
        <v>1765</v>
      </c>
      <c r="C96" s="2359" t="s">
        <v>1196</v>
      </c>
      <c r="D96" s="2315">
        <v>884.88</v>
      </c>
      <c r="F96" s="2299"/>
      <c r="G96" s="2338"/>
    </row>
    <row r="97" spans="2:9" ht="33.75" customHeight="1" thickBot="1" x14ac:dyDescent="0.4">
      <c r="B97" s="2360" t="s">
        <v>1131</v>
      </c>
      <c r="C97" s="2361"/>
      <c r="D97" s="2362">
        <v>884.88</v>
      </c>
      <c r="F97" s="2299"/>
      <c r="G97" s="2326"/>
    </row>
    <row r="98" spans="2:9" ht="33.75" customHeight="1" x14ac:dyDescent="0.35">
      <c r="B98" s="2861" t="s">
        <v>1164</v>
      </c>
      <c r="C98" s="2363" t="s">
        <v>1921</v>
      </c>
      <c r="D98" s="2256">
        <v>306.48700000000002</v>
      </c>
      <c r="F98" s="2299"/>
      <c r="G98" s="2338"/>
    </row>
    <row r="99" spans="2:9" ht="33.75" customHeight="1" x14ac:dyDescent="0.35">
      <c r="B99" s="2862"/>
      <c r="C99" s="2364" t="s">
        <v>1922</v>
      </c>
      <c r="D99" s="2252">
        <v>1801.8050000000001</v>
      </c>
      <c r="F99" s="2299"/>
      <c r="G99" s="2352"/>
      <c r="H99" s="2365"/>
      <c r="I99" s="2365"/>
    </row>
    <row r="100" spans="2:9" ht="33.75" customHeight="1" x14ac:dyDescent="0.35">
      <c r="B100" s="2862"/>
      <c r="C100" s="2364" t="s">
        <v>1197</v>
      </c>
      <c r="D100" s="2252">
        <v>4849.3580000000002</v>
      </c>
      <c r="F100" s="2299"/>
      <c r="G100" s="2366"/>
      <c r="H100" s="2365"/>
      <c r="I100" s="2365"/>
    </row>
    <row r="101" spans="2:9" ht="33.75" customHeight="1" x14ac:dyDescent="0.45">
      <c r="B101" s="2862"/>
      <c r="C101" s="2359" t="s">
        <v>1923</v>
      </c>
      <c r="D101" s="2261">
        <v>892.245</v>
      </c>
      <c r="H101" s="2365"/>
      <c r="I101" s="2365"/>
    </row>
    <row r="102" spans="2:9" ht="33.75" customHeight="1" thickBot="1" x14ac:dyDescent="0.4">
      <c r="B102" s="2367" t="s">
        <v>1131</v>
      </c>
      <c r="C102" s="2368"/>
      <c r="D102" s="2260">
        <v>7849.8949999999995</v>
      </c>
      <c r="F102" s="2299"/>
      <c r="G102" s="2299"/>
      <c r="H102" s="2365"/>
      <c r="I102" s="2365"/>
    </row>
    <row r="103" spans="2:9" ht="50.25" customHeight="1" x14ac:dyDescent="0.35">
      <c r="B103" s="2369" t="s">
        <v>1168</v>
      </c>
      <c r="C103" s="2370" t="s">
        <v>1924</v>
      </c>
      <c r="D103" s="2258">
        <v>752</v>
      </c>
      <c r="F103" s="2299"/>
      <c r="G103" s="2326"/>
    </row>
    <row r="104" spans="2:9" ht="33.75" customHeight="1" thickBot="1" x14ac:dyDescent="0.4">
      <c r="B104" s="2360" t="s">
        <v>1131</v>
      </c>
      <c r="C104" s="2371"/>
      <c r="D104" s="2260">
        <v>752</v>
      </c>
      <c r="F104" s="2299"/>
      <c r="G104" s="2326"/>
    </row>
    <row r="105" spans="2:9" ht="56.25" customHeight="1" x14ac:dyDescent="0.35">
      <c r="B105" s="2369" t="s">
        <v>1925</v>
      </c>
      <c r="C105" s="2372" t="s">
        <v>1926</v>
      </c>
      <c r="D105" s="2256">
        <v>216</v>
      </c>
      <c r="F105" s="2299"/>
      <c r="G105" s="2326"/>
    </row>
    <row r="106" spans="2:9" ht="33.75" customHeight="1" thickBot="1" x14ac:dyDescent="0.4">
      <c r="B106" s="2367" t="s">
        <v>1131</v>
      </c>
      <c r="C106" s="2373"/>
      <c r="D106" s="2374">
        <v>216.02699999999999</v>
      </c>
      <c r="F106" s="2299"/>
      <c r="G106" s="2326"/>
    </row>
    <row r="107" spans="2:9" s="2263" customFormat="1" ht="33.75" customHeight="1" thickBot="1" x14ac:dyDescent="0.45">
      <c r="B107" s="2375" t="s">
        <v>1166</v>
      </c>
      <c r="C107" s="2311"/>
      <c r="D107" s="2376">
        <v>22850</v>
      </c>
      <c r="F107" s="2314"/>
      <c r="G107" s="2314"/>
    </row>
    <row r="108" spans="2:9" s="2263" customFormat="1" ht="33.75" customHeight="1" thickBot="1" x14ac:dyDescent="0.45">
      <c r="B108" s="2377" t="s">
        <v>4</v>
      </c>
      <c r="C108" s="2311"/>
      <c r="D108" s="2376">
        <v>144607.242</v>
      </c>
      <c r="F108" s="2314"/>
      <c r="G108" s="2314"/>
    </row>
    <row r="109" spans="2:9" s="2263" customFormat="1" ht="33.75" customHeight="1" thickBot="1" x14ac:dyDescent="0.45">
      <c r="B109" s="2378" t="s">
        <v>1167</v>
      </c>
      <c r="C109" s="2379"/>
      <c r="D109" s="2376">
        <v>167458</v>
      </c>
      <c r="F109" s="2314"/>
      <c r="G109" s="2314"/>
    </row>
    <row r="110" spans="2:9" ht="19.5" customHeight="1" x14ac:dyDescent="0.45">
      <c r="F110" s="2380"/>
      <c r="G110" s="1183"/>
    </row>
    <row r="123" spans="4:4" x14ac:dyDescent="0.45">
      <c r="D123" s="2381"/>
    </row>
  </sheetData>
  <mergeCells count="22">
    <mergeCell ref="B52:B54"/>
    <mergeCell ref="B3:D3"/>
    <mergeCell ref="B4:D4"/>
    <mergeCell ref="B10:B11"/>
    <mergeCell ref="B14:B15"/>
    <mergeCell ref="B23:B27"/>
    <mergeCell ref="B29:B30"/>
    <mergeCell ref="B31:B32"/>
    <mergeCell ref="B42:B43"/>
    <mergeCell ref="B44:B45"/>
    <mergeCell ref="B47:B49"/>
    <mergeCell ref="B50:B51"/>
    <mergeCell ref="B72:B76"/>
    <mergeCell ref="B83:B84"/>
    <mergeCell ref="B85:B87"/>
    <mergeCell ref="B98:B101"/>
    <mergeCell ref="B55:B57"/>
    <mergeCell ref="B58:B59"/>
    <mergeCell ref="B61:B62"/>
    <mergeCell ref="B63:B65"/>
    <mergeCell ref="B66:B68"/>
    <mergeCell ref="B69:B70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0" orientation="portrait" r:id="rId1"/>
  <headerFooter alignWithMargins="0">
    <oddHeader>&amp;R&amp;"Arial CE,Félkövér"&amp;22 30. melléklet</oddHeader>
  </headerFooter>
  <rowBreaks count="1" manualBreakCount="1">
    <brk id="59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B1" sqref="B1:J1"/>
    </sheetView>
  </sheetViews>
  <sheetFormatPr defaultColWidth="12" defaultRowHeight="14.25" x14ac:dyDescent="0.2"/>
  <cols>
    <col min="1" max="1" width="17.83203125" style="1184" customWidth="1"/>
    <col min="2" max="2" width="15.33203125" style="1184" customWidth="1"/>
    <col min="3" max="3" width="16.5" style="1184" customWidth="1"/>
    <col min="4" max="4" width="16.6640625" style="1184" customWidth="1"/>
    <col min="5" max="5" width="30.1640625" style="1184" customWidth="1"/>
    <col min="6" max="6" width="15.6640625" style="1184" customWidth="1"/>
    <col min="7" max="7" width="16.83203125" style="1186" customWidth="1"/>
    <col min="8" max="8" width="18.6640625" style="1184" customWidth="1"/>
    <col min="9" max="9" width="16.6640625" style="1186" bestFit="1" customWidth="1"/>
    <col min="10" max="10" width="18.5" style="1184" customWidth="1"/>
    <col min="11" max="12" width="13.1640625" style="1184" customWidth="1"/>
    <col min="13" max="13" width="14.6640625" style="1184" bestFit="1" customWidth="1"/>
    <col min="14" max="16384" width="12" style="1184"/>
  </cols>
  <sheetData>
    <row r="1" spans="1:13" ht="18" x14ac:dyDescent="0.25">
      <c r="B1" s="2882" t="s">
        <v>664</v>
      </c>
      <c r="C1" s="2882"/>
      <c r="D1" s="2882"/>
      <c r="E1" s="2882"/>
      <c r="F1" s="2882"/>
      <c r="G1" s="2882"/>
      <c r="H1" s="2882"/>
      <c r="I1" s="2882"/>
      <c r="J1" s="2882"/>
    </row>
    <row r="2" spans="1:13" ht="18.75" x14ac:dyDescent="0.3">
      <c r="B2" s="2883" t="s">
        <v>1229</v>
      </c>
      <c r="C2" s="2884"/>
      <c r="D2" s="2884"/>
      <c r="E2" s="2884"/>
      <c r="F2" s="2884"/>
      <c r="G2" s="2884"/>
      <c r="H2" s="2884"/>
      <c r="I2" s="2884"/>
      <c r="J2" s="2884"/>
    </row>
    <row r="3" spans="1:13" ht="23.25" customHeight="1" x14ac:dyDescent="0.25">
      <c r="B3" s="1185"/>
      <c r="I3" s="1187"/>
      <c r="J3" s="1185"/>
      <c r="K3" s="1185"/>
      <c r="L3" s="1185"/>
    </row>
    <row r="4" spans="1:13" ht="15" x14ac:dyDescent="0.25">
      <c r="B4" s="1188"/>
      <c r="I4" s="1189"/>
      <c r="J4" s="1188"/>
      <c r="K4" s="1188"/>
      <c r="L4" s="1188"/>
    </row>
    <row r="5" spans="1:13" ht="15" thickBot="1" x14ac:dyDescent="0.25">
      <c r="J5" s="596" t="s">
        <v>38</v>
      </c>
      <c r="K5" s="1190"/>
      <c r="L5" s="1190"/>
    </row>
    <row r="6" spans="1:13" ht="22.5" customHeight="1" x14ac:dyDescent="0.25">
      <c r="A6" s="1191"/>
      <c r="B6" s="1192" t="s">
        <v>59</v>
      </c>
      <c r="C6" s="1193"/>
      <c r="D6" s="1193"/>
      <c r="E6" s="1194"/>
      <c r="F6" s="2885" t="s">
        <v>1198</v>
      </c>
      <c r="G6" s="2886"/>
      <c r="H6" s="2887"/>
      <c r="I6" s="1195" t="s">
        <v>1199</v>
      </c>
      <c r="J6" s="1196" t="s">
        <v>1200</v>
      </c>
      <c r="K6" s="1197"/>
      <c r="L6" s="1197"/>
    </row>
    <row r="7" spans="1:13" ht="29.25" customHeight="1" thickBot="1" x14ac:dyDescent="0.3">
      <c r="A7" s="1191"/>
      <c r="B7" s="1198"/>
      <c r="C7" s="1199"/>
      <c r="D7" s="1199"/>
      <c r="E7" s="1200"/>
      <c r="F7" s="1201" t="s">
        <v>1201</v>
      </c>
      <c r="G7" s="1202" t="s">
        <v>1202</v>
      </c>
      <c r="H7" s="1203" t="s">
        <v>1203</v>
      </c>
      <c r="I7" s="1204" t="s">
        <v>1204</v>
      </c>
      <c r="J7" s="1205" t="s">
        <v>936</v>
      </c>
      <c r="K7" s="1197"/>
      <c r="L7" s="1197"/>
    </row>
    <row r="8" spans="1:13" ht="27" customHeight="1" x14ac:dyDescent="0.2">
      <c r="B8" s="1206" t="s">
        <v>1205</v>
      </c>
      <c r="C8" s="1207"/>
      <c r="D8" s="1207"/>
      <c r="E8" s="1208"/>
      <c r="F8" s="1209">
        <v>100</v>
      </c>
      <c r="G8" s="1210">
        <f>1794000+335200+258800+275390+1815700+98800+202918</f>
        <v>4780808</v>
      </c>
      <c r="H8" s="1211">
        <f>2133575+389433+258800+275390+1815700+98800+202918</f>
        <v>5174616</v>
      </c>
      <c r="I8" s="1212"/>
      <c r="J8" s="1213">
        <f t="shared" ref="J8:J16" si="0">H8-I8</f>
        <v>5174616</v>
      </c>
      <c r="K8" s="1214"/>
      <c r="L8" s="1214"/>
      <c r="M8" s="1215"/>
    </row>
    <row r="9" spans="1:13" ht="27" customHeight="1" x14ac:dyDescent="0.2">
      <c r="B9" s="1216" t="s">
        <v>1206</v>
      </c>
      <c r="C9" s="1217"/>
      <c r="D9" s="1217"/>
      <c r="E9" s="1218"/>
      <c r="F9" s="1219">
        <v>75</v>
      </c>
      <c r="G9" s="1210"/>
      <c r="H9" s="1211"/>
      <c r="I9" s="1212"/>
      <c r="J9" s="1220">
        <f t="shared" si="0"/>
        <v>0</v>
      </c>
      <c r="K9" s="1214"/>
      <c r="L9" s="1214"/>
    </row>
    <row r="10" spans="1:13" ht="27" customHeight="1" x14ac:dyDescent="0.2">
      <c r="B10" s="1216" t="s">
        <v>1207</v>
      </c>
      <c r="C10" s="1217"/>
      <c r="D10" s="1217"/>
      <c r="E10" s="1218"/>
      <c r="F10" s="1219">
        <v>100</v>
      </c>
      <c r="G10" s="1210">
        <v>3000</v>
      </c>
      <c r="H10" s="1211">
        <v>3000</v>
      </c>
      <c r="I10" s="1221">
        <v>500</v>
      </c>
      <c r="J10" s="1220">
        <f t="shared" si="0"/>
        <v>2500</v>
      </c>
      <c r="K10" s="1214"/>
      <c r="L10" s="1214"/>
    </row>
    <row r="11" spans="1:13" ht="27" customHeight="1" x14ac:dyDescent="0.2">
      <c r="B11" s="1216" t="s">
        <v>1208</v>
      </c>
      <c r="C11" s="1217"/>
      <c r="D11" s="1217"/>
      <c r="E11" s="1218"/>
      <c r="F11" s="1219">
        <v>52.85</v>
      </c>
      <c r="G11" s="1210">
        <f>7537500-5992312.5-370845</f>
        <v>1174342.5</v>
      </c>
      <c r="H11" s="1211">
        <f>635197-14552</f>
        <v>620645</v>
      </c>
      <c r="I11" s="1221"/>
      <c r="J11" s="1222">
        <f t="shared" si="0"/>
        <v>620645</v>
      </c>
      <c r="K11" s="1214"/>
      <c r="L11" s="1214"/>
    </row>
    <row r="12" spans="1:13" ht="27" customHeight="1" x14ac:dyDescent="0.2">
      <c r="B12" s="1223" t="s">
        <v>1209</v>
      </c>
      <c r="C12" s="1217"/>
      <c r="D12" s="1217"/>
      <c r="E12" s="1218"/>
      <c r="F12" s="1209">
        <v>16.45</v>
      </c>
      <c r="G12" s="1210">
        <f>20000+42000</f>
        <v>62000</v>
      </c>
      <c r="H12" s="1211">
        <f>5000-150-1320+8670</f>
        <v>12200</v>
      </c>
      <c r="I12" s="1221"/>
      <c r="J12" s="1220">
        <f t="shared" si="0"/>
        <v>12200</v>
      </c>
      <c r="K12" s="1214"/>
      <c r="L12" s="1214"/>
      <c r="M12" s="1215"/>
    </row>
    <row r="13" spans="1:13" s="1224" customFormat="1" ht="27" customHeight="1" x14ac:dyDescent="0.2">
      <c r="B13" s="1225" t="s">
        <v>1210</v>
      </c>
      <c r="C13" s="1226"/>
      <c r="D13" s="1226"/>
      <c r="E13" s="1227"/>
      <c r="F13" s="1228">
        <v>35</v>
      </c>
      <c r="G13" s="1229">
        <v>150000</v>
      </c>
      <c r="H13" s="1230">
        <v>69490</v>
      </c>
      <c r="I13" s="1231"/>
      <c r="J13" s="1222">
        <f t="shared" si="0"/>
        <v>69490</v>
      </c>
      <c r="K13" s="1232"/>
      <c r="L13" s="1232"/>
    </row>
    <row r="14" spans="1:13" s="1224" customFormat="1" ht="27" customHeight="1" x14ac:dyDescent="0.2">
      <c r="B14" s="1225" t="s">
        <v>1211</v>
      </c>
      <c r="C14" s="1226"/>
      <c r="D14" s="1226"/>
      <c r="E14" s="1226"/>
      <c r="F14" s="1228">
        <f>H14/G14*100</f>
        <v>5.27</v>
      </c>
      <c r="G14" s="1229">
        <v>10000</v>
      </c>
      <c r="H14" s="1233">
        <v>527</v>
      </c>
      <c r="I14" s="1231"/>
      <c r="J14" s="1234">
        <f t="shared" si="0"/>
        <v>527</v>
      </c>
      <c r="K14" s="1232"/>
      <c r="L14" s="1232"/>
    </row>
    <row r="15" spans="1:13" s="1224" customFormat="1" ht="27" customHeight="1" x14ac:dyDescent="0.2">
      <c r="B15" s="1225" t="s">
        <v>1212</v>
      </c>
      <c r="C15" s="1226"/>
      <c r="D15" s="1226"/>
      <c r="E15" s="1226"/>
      <c r="F15" s="1228">
        <v>100</v>
      </c>
      <c r="G15" s="1210">
        <v>25500</v>
      </c>
      <c r="H15" s="1233">
        <v>25500</v>
      </c>
      <c r="I15" s="1221">
        <v>0</v>
      </c>
      <c r="J15" s="1234">
        <f t="shared" si="0"/>
        <v>25500</v>
      </c>
      <c r="K15" s="1232"/>
      <c r="L15" s="1232"/>
    </row>
    <row r="16" spans="1:13" s="1224" customFormat="1" ht="27" customHeight="1" x14ac:dyDescent="0.2">
      <c r="B16" s="1225" t="s">
        <v>1213</v>
      </c>
      <c r="C16" s="1226"/>
      <c r="D16" s="1226"/>
      <c r="E16" s="1226"/>
      <c r="F16" s="1228">
        <v>25</v>
      </c>
      <c r="G16" s="1210">
        <v>100000</v>
      </c>
      <c r="H16" s="1233">
        <v>1470000</v>
      </c>
      <c r="I16" s="1235"/>
      <c r="J16" s="1234">
        <f t="shared" si="0"/>
        <v>1470000</v>
      </c>
      <c r="K16" s="1232"/>
      <c r="L16" s="1232"/>
      <c r="M16" s="1184"/>
    </row>
    <row r="17" spans="2:13" s="1224" customFormat="1" ht="27" customHeight="1" x14ac:dyDescent="0.25">
      <c r="B17" s="1236" t="s">
        <v>1214</v>
      </c>
      <c r="C17" s="1226"/>
      <c r="D17" s="1226"/>
      <c r="E17" s="1226"/>
      <c r="F17" s="1209"/>
      <c r="G17" s="1210"/>
      <c r="H17" s="1237">
        <f>SUM(H8:H16)</f>
        <v>7375978</v>
      </c>
      <c r="I17" s="1237">
        <f>SUM(I8:I16)</f>
        <v>500</v>
      </c>
      <c r="J17" s="1237">
        <f>SUM(J8:J16)</f>
        <v>7375478</v>
      </c>
      <c r="K17" s="1232"/>
      <c r="L17" s="1232"/>
    </row>
    <row r="18" spans="2:13" s="1224" customFormat="1" ht="27" customHeight="1" x14ac:dyDescent="0.2">
      <c r="B18" s="1238" t="s">
        <v>1215</v>
      </c>
      <c r="C18" s="1207"/>
      <c r="D18" s="1207"/>
      <c r="E18" s="1208"/>
      <c r="F18" s="1209">
        <v>100</v>
      </c>
      <c r="G18" s="1210">
        <f>3000+17000</f>
        <v>20000</v>
      </c>
      <c r="H18" s="1211">
        <f>3000+17000</f>
        <v>20000</v>
      </c>
      <c r="I18" s="1221"/>
      <c r="J18" s="1222">
        <f t="shared" ref="J18:J27" si="1">H18-I18</f>
        <v>20000</v>
      </c>
      <c r="K18" s="1232"/>
      <c r="L18" s="1232"/>
    </row>
    <row r="19" spans="2:13" s="1224" customFormat="1" ht="27" customHeight="1" x14ac:dyDescent="0.2">
      <c r="B19" s="1206" t="s">
        <v>1216</v>
      </c>
      <c r="C19" s="1207"/>
      <c r="D19" s="1207"/>
      <c r="E19" s="1208"/>
      <c r="F19" s="1209">
        <v>100</v>
      </c>
      <c r="G19" s="1210">
        <v>4700</v>
      </c>
      <c r="H19" s="1211">
        <v>4700</v>
      </c>
      <c r="I19" s="1221"/>
      <c r="J19" s="1222">
        <f t="shared" si="1"/>
        <v>4700</v>
      </c>
      <c r="K19" s="1232"/>
      <c r="L19" s="1232"/>
    </row>
    <row r="20" spans="2:13" s="1224" customFormat="1" ht="27" customHeight="1" x14ac:dyDescent="0.2">
      <c r="B20" s="1206" t="s">
        <v>1217</v>
      </c>
      <c r="C20" s="1207"/>
      <c r="D20" s="1207"/>
      <c r="E20" s="1208"/>
      <c r="F20" s="1209">
        <v>100</v>
      </c>
      <c r="G20" s="1210">
        <v>3000</v>
      </c>
      <c r="H20" s="1211">
        <v>3000</v>
      </c>
      <c r="I20" s="1221"/>
      <c r="J20" s="1222">
        <f t="shared" si="1"/>
        <v>3000</v>
      </c>
      <c r="K20" s="1232"/>
      <c r="L20" s="1232"/>
      <c r="M20" s="1239"/>
    </row>
    <row r="21" spans="2:13" s="1224" customFormat="1" ht="27" customHeight="1" x14ac:dyDescent="0.2">
      <c r="B21" s="1206" t="s">
        <v>1218</v>
      </c>
      <c r="C21" s="1207"/>
      <c r="D21" s="1207"/>
      <c r="E21" s="1208"/>
      <c r="F21" s="1209">
        <v>100</v>
      </c>
      <c r="G21" s="1210">
        <v>15000</v>
      </c>
      <c r="H21" s="1211">
        <v>15000</v>
      </c>
      <c r="I21" s="1221"/>
      <c r="J21" s="1222">
        <f t="shared" si="1"/>
        <v>15000</v>
      </c>
      <c r="K21" s="1232"/>
      <c r="L21" s="1232"/>
      <c r="M21" s="1239"/>
    </row>
    <row r="22" spans="2:13" s="1224" customFormat="1" ht="27" customHeight="1" x14ac:dyDescent="0.25">
      <c r="B22" s="1240" t="s">
        <v>1219</v>
      </c>
      <c r="C22" s="1207"/>
      <c r="D22" s="1207"/>
      <c r="E22" s="1208"/>
      <c r="F22" s="1209">
        <v>100</v>
      </c>
      <c r="G22" s="1210">
        <v>3530</v>
      </c>
      <c r="H22" s="1211">
        <f>6000-2000-170+40000-2400+3587</f>
        <v>45017</v>
      </c>
      <c r="I22" s="1221"/>
      <c r="J22" s="1222">
        <f t="shared" si="1"/>
        <v>45017</v>
      </c>
      <c r="K22" s="1232"/>
      <c r="L22" s="1232"/>
      <c r="M22" s="1239"/>
    </row>
    <row r="23" spans="2:13" s="1224" customFormat="1" ht="27" customHeight="1" x14ac:dyDescent="0.2">
      <c r="B23" s="1225" t="s">
        <v>1220</v>
      </c>
      <c r="C23" s="1226"/>
      <c r="D23" s="1226"/>
      <c r="E23" s="1226"/>
      <c r="F23" s="1228">
        <v>100</v>
      </c>
      <c r="G23" s="1210">
        <v>3000</v>
      </c>
      <c r="H23" s="1233">
        <v>3000</v>
      </c>
      <c r="I23" s="1221"/>
      <c r="J23" s="1234">
        <f t="shared" si="1"/>
        <v>3000</v>
      </c>
      <c r="K23" s="1232"/>
      <c r="L23" s="1232"/>
    </row>
    <row r="24" spans="2:13" s="1224" customFormat="1" ht="27" customHeight="1" x14ac:dyDescent="0.2">
      <c r="B24" s="1225" t="s">
        <v>449</v>
      </c>
      <c r="C24" s="1226"/>
      <c r="D24" s="1226"/>
      <c r="E24" s="1226"/>
      <c r="F24" s="1228">
        <f>H24/G24*100</f>
        <v>85</v>
      </c>
      <c r="G24" s="1210">
        <v>3000</v>
      </c>
      <c r="H24" s="1233">
        <f>1700+850</f>
        <v>2550</v>
      </c>
      <c r="I24" s="1235"/>
      <c r="J24" s="1234">
        <f t="shared" si="1"/>
        <v>2550</v>
      </c>
      <c r="K24" s="1232"/>
      <c r="L24" s="1232"/>
    </row>
    <row r="25" spans="2:13" s="1224" customFormat="1" ht="36.75" customHeight="1" x14ac:dyDescent="0.2">
      <c r="B25" s="2888" t="s">
        <v>1221</v>
      </c>
      <c r="C25" s="2889"/>
      <c r="D25" s="2889"/>
      <c r="E25" s="2890"/>
      <c r="F25" s="1209">
        <v>20</v>
      </c>
      <c r="G25" s="1210">
        <v>3000</v>
      </c>
      <c r="H25" s="1211">
        <v>600</v>
      </c>
      <c r="I25" s="1221"/>
      <c r="J25" s="1222">
        <f t="shared" si="1"/>
        <v>600</v>
      </c>
      <c r="K25" s="1232"/>
      <c r="L25" s="1232"/>
      <c r="M25" s="1239"/>
    </row>
    <row r="26" spans="2:13" s="1224" customFormat="1" ht="40.5" customHeight="1" x14ac:dyDescent="0.2">
      <c r="B26" s="2888" t="s">
        <v>1222</v>
      </c>
      <c r="C26" s="2889"/>
      <c r="D26" s="2889"/>
      <c r="E26" s="2890"/>
      <c r="F26" s="1209">
        <v>90</v>
      </c>
      <c r="G26" s="1210">
        <v>3000</v>
      </c>
      <c r="H26" s="1211">
        <v>2700</v>
      </c>
      <c r="I26" s="1235">
        <v>2700</v>
      </c>
      <c r="J26" s="1222">
        <f t="shared" si="1"/>
        <v>0</v>
      </c>
      <c r="K26" s="1232"/>
      <c r="L26" s="1232"/>
      <c r="M26" s="1239"/>
    </row>
    <row r="27" spans="2:13" s="1224" customFormat="1" ht="27" customHeight="1" x14ac:dyDescent="0.2">
      <c r="B27" s="1206" t="s">
        <v>1223</v>
      </c>
      <c r="C27" s="1207"/>
      <c r="D27" s="1207"/>
      <c r="E27" s="1207"/>
      <c r="F27" s="1209">
        <v>100</v>
      </c>
      <c r="G27" s="1210">
        <v>13000</v>
      </c>
      <c r="H27" s="1211">
        <v>13000</v>
      </c>
      <c r="I27" s="1235"/>
      <c r="J27" s="1222">
        <f t="shared" si="1"/>
        <v>13000</v>
      </c>
      <c r="K27" s="1232"/>
      <c r="L27" s="1232"/>
      <c r="M27" s="1239"/>
    </row>
    <row r="28" spans="2:13" s="1224" customFormat="1" ht="27" customHeight="1" x14ac:dyDescent="0.25">
      <c r="B28" s="1241" t="s">
        <v>1224</v>
      </c>
      <c r="C28" s="1207"/>
      <c r="D28" s="1207"/>
      <c r="E28" s="1207"/>
      <c r="F28" s="1242"/>
      <c r="G28" s="1210"/>
      <c r="H28" s="1237">
        <f>SUM(H18:H27)</f>
        <v>109567</v>
      </c>
      <c r="I28" s="1237">
        <f>SUM(I18:I27)</f>
        <v>2700</v>
      </c>
      <c r="J28" s="1237">
        <f>SUM(J18:J27)</f>
        <v>106867</v>
      </c>
      <c r="K28" s="1232"/>
      <c r="L28" s="1232"/>
    </row>
    <row r="29" spans="2:13" s="1224" customFormat="1" ht="27" customHeight="1" x14ac:dyDescent="0.2">
      <c r="B29" s="1225" t="s">
        <v>1225</v>
      </c>
      <c r="C29" s="1226"/>
      <c r="D29" s="1226"/>
      <c r="E29" s="1226"/>
      <c r="F29" s="1228">
        <v>3.51</v>
      </c>
      <c r="G29" s="1229">
        <v>728840</v>
      </c>
      <c r="H29" s="1233">
        <v>25570</v>
      </c>
      <c r="I29" s="1231"/>
      <c r="J29" s="1234">
        <f>H29-I29</f>
        <v>25570</v>
      </c>
      <c r="K29" s="1232"/>
      <c r="L29" s="1232"/>
    </row>
    <row r="30" spans="2:13" s="1224" customFormat="1" ht="27" customHeight="1" x14ac:dyDescent="0.2">
      <c r="B30" s="1225" t="s">
        <v>1226</v>
      </c>
      <c r="C30" s="1226"/>
      <c r="D30" s="1226"/>
      <c r="E30" s="1227"/>
      <c r="F30" s="1228">
        <v>0.11</v>
      </c>
      <c r="G30" s="1229">
        <v>13473446</v>
      </c>
      <c r="H30" s="1243">
        <v>14590</v>
      </c>
      <c r="I30" s="1231"/>
      <c r="J30" s="1234">
        <f>H30-I30</f>
        <v>14590</v>
      </c>
      <c r="K30" s="1232"/>
      <c r="L30" s="1232"/>
    </row>
    <row r="31" spans="2:13" s="1224" customFormat="1" ht="27" customHeight="1" x14ac:dyDescent="0.2">
      <c r="B31" s="1225" t="s">
        <v>1227</v>
      </c>
      <c r="C31" s="1226"/>
      <c r="D31" s="1226"/>
      <c r="E31" s="1227"/>
      <c r="F31" s="1244">
        <v>3.7999999999999999E-2</v>
      </c>
      <c r="G31" s="1229">
        <v>9000001</v>
      </c>
      <c r="H31" s="1245">
        <v>3462</v>
      </c>
      <c r="I31" s="1231"/>
      <c r="J31" s="1234">
        <f>H31-I31</f>
        <v>3462</v>
      </c>
      <c r="K31" s="1232"/>
      <c r="L31" s="1232"/>
      <c r="M31" s="1239"/>
    </row>
    <row r="32" spans="2:13" ht="27" customHeight="1" thickBot="1" x14ac:dyDescent="0.3">
      <c r="B32" s="1246" t="s">
        <v>1228</v>
      </c>
      <c r="C32" s="1247"/>
      <c r="D32" s="1247"/>
      <c r="E32" s="1247"/>
      <c r="F32" s="1248"/>
      <c r="G32" s="1249"/>
      <c r="H32" s="1250">
        <f>SUM(H29:H31)</f>
        <v>43622</v>
      </c>
      <c r="I32" s="1250">
        <f>SUM(I29:I31)</f>
        <v>0</v>
      </c>
      <c r="J32" s="1250">
        <f>SUM(J29:J31)</f>
        <v>43622</v>
      </c>
      <c r="K32" s="1214"/>
      <c r="L32" s="1214"/>
      <c r="M32" s="1215"/>
    </row>
    <row r="33" spans="2:13" ht="27.75" customHeight="1" thickBot="1" x14ac:dyDescent="0.3">
      <c r="B33" s="1251" t="s">
        <v>666</v>
      </c>
      <c r="C33" s="1252"/>
      <c r="D33" s="1252"/>
      <c r="E33" s="1252"/>
      <c r="F33" s="1253"/>
      <c r="G33" s="1254"/>
      <c r="H33" s="1255">
        <f>H17+H28+H32</f>
        <v>7529167</v>
      </c>
      <c r="I33" s="1255">
        <f>I17+I28+I32</f>
        <v>3200</v>
      </c>
      <c r="J33" s="1255">
        <f>J17+J28+J32</f>
        <v>7525967</v>
      </c>
      <c r="K33" s="1214"/>
      <c r="L33" s="1214"/>
    </row>
    <row r="34" spans="2:13" x14ac:dyDescent="0.2">
      <c r="H34" s="1186"/>
      <c r="J34" s="1256"/>
      <c r="M34" s="1257"/>
    </row>
    <row r="35" spans="2:13" x14ac:dyDescent="0.2">
      <c r="H35" s="1186"/>
    </row>
    <row r="36" spans="2:13" x14ac:dyDescent="0.2">
      <c r="J36" s="1186"/>
      <c r="M36" s="1258"/>
    </row>
    <row r="37" spans="2:13" x14ac:dyDescent="0.2">
      <c r="B37" s="1259"/>
      <c r="H37" s="1186"/>
      <c r="M37" s="1258"/>
    </row>
    <row r="38" spans="2:13" x14ac:dyDescent="0.2">
      <c r="M38" s="1258"/>
    </row>
    <row r="39" spans="2:13" x14ac:dyDescent="0.2">
      <c r="M39" s="1258"/>
    </row>
    <row r="40" spans="2:13" x14ac:dyDescent="0.2">
      <c r="M40" s="1260"/>
    </row>
    <row r="41" spans="2:13" x14ac:dyDescent="0.2">
      <c r="M41" s="1258"/>
    </row>
    <row r="42" spans="2:13" x14ac:dyDescent="0.2">
      <c r="M42" s="1258"/>
    </row>
    <row r="43" spans="2:13" x14ac:dyDescent="0.2">
      <c r="M43" s="1258"/>
    </row>
    <row r="44" spans="2:13" x14ac:dyDescent="0.2">
      <c r="M44" s="1214"/>
    </row>
    <row r="45" spans="2:13" x14ac:dyDescent="0.2">
      <c r="M45" s="1258"/>
    </row>
    <row r="46" spans="2:13" x14ac:dyDescent="0.2">
      <c r="M46" s="1258"/>
    </row>
    <row r="47" spans="2:13" x14ac:dyDescent="0.2">
      <c r="M47" s="1257"/>
    </row>
  </sheetData>
  <mergeCells count="5">
    <mergeCell ref="B1:J1"/>
    <mergeCell ref="B2:J2"/>
    <mergeCell ref="F6:H6"/>
    <mergeCell ref="B25:E25"/>
    <mergeCell ref="B26:E2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>
    <oddHeader xml:space="preserve">&amp;R&amp;"Arial,Félkövér"&amp;14 31. melléklet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0"/>
  <sheetViews>
    <sheetView view="pageBreakPreview" zoomScale="50" zoomScaleNormal="50" zoomScaleSheetLayoutView="50" workbookViewId="0">
      <pane xSplit="1" ySplit="8" topLeftCell="AN36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RowHeight="26.45" customHeight="1" x14ac:dyDescent="0.6"/>
  <cols>
    <col min="1" max="1" width="199.33203125" style="1820" customWidth="1"/>
    <col min="2" max="2" width="47.1640625" style="1821" customWidth="1"/>
    <col min="3" max="3" width="52.6640625" style="1821" customWidth="1"/>
    <col min="4" max="4" width="47.1640625" style="1821" customWidth="1"/>
    <col min="5" max="5" width="43.6640625" style="1821" customWidth="1"/>
    <col min="6" max="6" width="47.33203125" style="1821" customWidth="1"/>
    <col min="7" max="7" width="52.6640625" style="1821" customWidth="1"/>
    <col min="8" max="8" width="47.1640625" style="1821" customWidth="1"/>
    <col min="9" max="9" width="43.6640625" style="1821" customWidth="1"/>
    <col min="10" max="10" width="47.33203125" style="1821" customWidth="1"/>
    <col min="11" max="11" width="52.6640625" style="1821" customWidth="1"/>
    <col min="12" max="12" width="47.1640625" style="1821" customWidth="1"/>
    <col min="13" max="13" width="43.6640625" style="1821" customWidth="1"/>
    <col min="14" max="14" width="47.33203125" style="1821" customWidth="1"/>
    <col min="15" max="15" width="52.6640625" style="1821" customWidth="1"/>
    <col min="16" max="16" width="44.83203125" style="1821" customWidth="1"/>
    <col min="17" max="17" width="43.6640625" style="1821" customWidth="1"/>
    <col min="18" max="18" width="47.33203125" style="1821" customWidth="1"/>
    <col min="19" max="19" width="52.6640625" style="1821" customWidth="1"/>
    <col min="20" max="20" width="47.1640625" style="1821" customWidth="1"/>
    <col min="21" max="21" width="43.6640625" style="1821" customWidth="1"/>
    <col min="22" max="22" width="193.33203125" style="1822" customWidth="1"/>
    <col min="23" max="23" width="51" style="1821" customWidth="1"/>
    <col min="24" max="24" width="52.6640625" style="1821" customWidth="1"/>
    <col min="25" max="27" width="51" style="1821" customWidth="1"/>
    <col min="28" max="28" width="52.6640625" style="1821" customWidth="1"/>
    <col min="29" max="38" width="51" style="1821" customWidth="1"/>
    <col min="39" max="39" width="190.33203125" style="1822" customWidth="1"/>
    <col min="40" max="47" width="69.6640625" style="1820" customWidth="1"/>
    <col min="48" max="48" width="193.33203125" style="1822" customWidth="1"/>
    <col min="49" max="58" width="56" style="1820" customWidth="1"/>
    <col min="59" max="62" width="56" style="1823" customWidth="1"/>
    <col min="63" max="64" width="56" style="1821" customWidth="1"/>
    <col min="65" max="65" width="59" style="1824" customWidth="1"/>
    <col min="66" max="66" width="46" style="1824" customWidth="1"/>
    <col min="67" max="252" width="9.33203125" style="1824"/>
    <col min="253" max="253" width="193.33203125" style="1824" customWidth="1"/>
    <col min="254" max="254" width="47.1640625" style="1824" customWidth="1"/>
    <col min="255" max="255" width="47.33203125" style="1824" customWidth="1"/>
    <col min="256" max="256" width="47.1640625" style="1824" customWidth="1"/>
    <col min="257" max="257" width="43.6640625" style="1824" customWidth="1"/>
    <col min="258" max="259" width="47.33203125" style="1824" customWidth="1"/>
    <col min="260" max="260" width="47.1640625" style="1824" customWidth="1"/>
    <col min="261" max="261" width="43.6640625" style="1824" customWidth="1"/>
    <col min="262" max="263" width="47.33203125" style="1824" customWidth="1"/>
    <col min="264" max="264" width="47.1640625" style="1824" customWidth="1"/>
    <col min="265" max="265" width="43.6640625" style="1824" customWidth="1"/>
    <col min="266" max="267" width="45" style="1824" customWidth="1"/>
    <col min="268" max="268" width="44.83203125" style="1824" customWidth="1"/>
    <col min="269" max="269" width="45" style="1824" customWidth="1"/>
    <col min="270" max="271" width="47.33203125" style="1824" customWidth="1"/>
    <col min="272" max="272" width="47.1640625" style="1824" customWidth="1"/>
    <col min="273" max="273" width="43.6640625" style="1824" customWidth="1"/>
    <col min="274" max="274" width="193.33203125" style="1824" customWidth="1"/>
    <col min="275" max="290" width="51" style="1824" customWidth="1"/>
    <col min="291" max="291" width="192.33203125" style="1824" customWidth="1"/>
    <col min="292" max="303" width="61" style="1824" customWidth="1"/>
    <col min="304" max="304" width="193.33203125" style="1824" customWidth="1"/>
    <col min="305" max="320" width="56" style="1824" customWidth="1"/>
    <col min="321" max="321" width="59" style="1824" customWidth="1"/>
    <col min="322" max="322" width="46" style="1824" customWidth="1"/>
    <col min="323" max="508" width="9.33203125" style="1824"/>
    <col min="509" max="509" width="193.33203125" style="1824" customWidth="1"/>
    <col min="510" max="510" width="47.1640625" style="1824" customWidth="1"/>
    <col min="511" max="511" width="47.33203125" style="1824" customWidth="1"/>
    <col min="512" max="512" width="47.1640625" style="1824" customWidth="1"/>
    <col min="513" max="513" width="43.6640625" style="1824" customWidth="1"/>
    <col min="514" max="515" width="47.33203125" style="1824" customWidth="1"/>
    <col min="516" max="516" width="47.1640625" style="1824" customWidth="1"/>
    <col min="517" max="517" width="43.6640625" style="1824" customWidth="1"/>
    <col min="518" max="519" width="47.33203125" style="1824" customWidth="1"/>
    <col min="520" max="520" width="47.1640625" style="1824" customWidth="1"/>
    <col min="521" max="521" width="43.6640625" style="1824" customWidth="1"/>
    <col min="522" max="523" width="45" style="1824" customWidth="1"/>
    <col min="524" max="524" width="44.83203125" style="1824" customWidth="1"/>
    <col min="525" max="525" width="45" style="1824" customWidth="1"/>
    <col min="526" max="527" width="47.33203125" style="1824" customWidth="1"/>
    <col min="528" max="528" width="47.1640625" style="1824" customWidth="1"/>
    <col min="529" max="529" width="43.6640625" style="1824" customWidth="1"/>
    <col min="530" max="530" width="193.33203125" style="1824" customWidth="1"/>
    <col min="531" max="546" width="51" style="1824" customWidth="1"/>
    <col min="547" max="547" width="192.33203125" style="1824" customWidth="1"/>
    <col min="548" max="559" width="61" style="1824" customWidth="1"/>
    <col min="560" max="560" width="193.33203125" style="1824" customWidth="1"/>
    <col min="561" max="576" width="56" style="1824" customWidth="1"/>
    <col min="577" max="577" width="59" style="1824" customWidth="1"/>
    <col min="578" max="578" width="46" style="1824" customWidth="1"/>
    <col min="579" max="764" width="9.33203125" style="1824"/>
    <col min="765" max="765" width="193.33203125" style="1824" customWidth="1"/>
    <col min="766" max="766" width="47.1640625" style="1824" customWidth="1"/>
    <col min="767" max="767" width="47.33203125" style="1824" customWidth="1"/>
    <col min="768" max="768" width="47.1640625" style="1824" customWidth="1"/>
    <col min="769" max="769" width="43.6640625" style="1824" customWidth="1"/>
    <col min="770" max="771" width="47.33203125" style="1824" customWidth="1"/>
    <col min="772" max="772" width="47.1640625" style="1824" customWidth="1"/>
    <col min="773" max="773" width="43.6640625" style="1824" customWidth="1"/>
    <col min="774" max="775" width="47.33203125" style="1824" customWidth="1"/>
    <col min="776" max="776" width="47.1640625" style="1824" customWidth="1"/>
    <col min="777" max="777" width="43.6640625" style="1824" customWidth="1"/>
    <col min="778" max="779" width="45" style="1824" customWidth="1"/>
    <col min="780" max="780" width="44.83203125" style="1824" customWidth="1"/>
    <col min="781" max="781" width="45" style="1824" customWidth="1"/>
    <col min="782" max="783" width="47.33203125" style="1824" customWidth="1"/>
    <col min="784" max="784" width="47.1640625" style="1824" customWidth="1"/>
    <col min="785" max="785" width="43.6640625" style="1824" customWidth="1"/>
    <col min="786" max="786" width="193.33203125" style="1824" customWidth="1"/>
    <col min="787" max="802" width="51" style="1824" customWidth="1"/>
    <col min="803" max="803" width="192.33203125" style="1824" customWidth="1"/>
    <col min="804" max="815" width="61" style="1824" customWidth="1"/>
    <col min="816" max="816" width="193.33203125" style="1824" customWidth="1"/>
    <col min="817" max="832" width="56" style="1824" customWidth="1"/>
    <col min="833" max="833" width="59" style="1824" customWidth="1"/>
    <col min="834" max="834" width="46" style="1824" customWidth="1"/>
    <col min="835" max="1020" width="9.33203125" style="1824"/>
    <col min="1021" max="1021" width="193.33203125" style="1824" customWidth="1"/>
    <col min="1022" max="1022" width="47.1640625" style="1824" customWidth="1"/>
    <col min="1023" max="1023" width="47.33203125" style="1824" customWidth="1"/>
    <col min="1024" max="1024" width="47.1640625" style="1824" customWidth="1"/>
    <col min="1025" max="1025" width="43.6640625" style="1824" customWidth="1"/>
    <col min="1026" max="1027" width="47.33203125" style="1824" customWidth="1"/>
    <col min="1028" max="1028" width="47.1640625" style="1824" customWidth="1"/>
    <col min="1029" max="1029" width="43.6640625" style="1824" customWidth="1"/>
    <col min="1030" max="1031" width="47.33203125" style="1824" customWidth="1"/>
    <col min="1032" max="1032" width="47.1640625" style="1824" customWidth="1"/>
    <col min="1033" max="1033" width="43.6640625" style="1824" customWidth="1"/>
    <col min="1034" max="1035" width="45" style="1824" customWidth="1"/>
    <col min="1036" max="1036" width="44.83203125" style="1824" customWidth="1"/>
    <col min="1037" max="1037" width="45" style="1824" customWidth="1"/>
    <col min="1038" max="1039" width="47.33203125" style="1824" customWidth="1"/>
    <col min="1040" max="1040" width="47.1640625" style="1824" customWidth="1"/>
    <col min="1041" max="1041" width="43.6640625" style="1824" customWidth="1"/>
    <col min="1042" max="1042" width="193.33203125" style="1824" customWidth="1"/>
    <col min="1043" max="1058" width="51" style="1824" customWidth="1"/>
    <col min="1059" max="1059" width="192.33203125" style="1824" customWidth="1"/>
    <col min="1060" max="1071" width="61" style="1824" customWidth="1"/>
    <col min="1072" max="1072" width="193.33203125" style="1824" customWidth="1"/>
    <col min="1073" max="1088" width="56" style="1824" customWidth="1"/>
    <col min="1089" max="1089" width="59" style="1824" customWidth="1"/>
    <col min="1090" max="1090" width="46" style="1824" customWidth="1"/>
    <col min="1091" max="1276" width="9.33203125" style="1824"/>
    <col min="1277" max="1277" width="193.33203125" style="1824" customWidth="1"/>
    <col min="1278" max="1278" width="47.1640625" style="1824" customWidth="1"/>
    <col min="1279" max="1279" width="47.33203125" style="1824" customWidth="1"/>
    <col min="1280" max="1280" width="47.1640625" style="1824" customWidth="1"/>
    <col min="1281" max="1281" width="43.6640625" style="1824" customWidth="1"/>
    <col min="1282" max="1283" width="47.33203125" style="1824" customWidth="1"/>
    <col min="1284" max="1284" width="47.1640625" style="1824" customWidth="1"/>
    <col min="1285" max="1285" width="43.6640625" style="1824" customWidth="1"/>
    <col min="1286" max="1287" width="47.33203125" style="1824" customWidth="1"/>
    <col min="1288" max="1288" width="47.1640625" style="1824" customWidth="1"/>
    <col min="1289" max="1289" width="43.6640625" style="1824" customWidth="1"/>
    <col min="1290" max="1291" width="45" style="1824" customWidth="1"/>
    <col min="1292" max="1292" width="44.83203125" style="1824" customWidth="1"/>
    <col min="1293" max="1293" width="45" style="1824" customWidth="1"/>
    <col min="1294" max="1295" width="47.33203125" style="1824" customWidth="1"/>
    <col min="1296" max="1296" width="47.1640625" style="1824" customWidth="1"/>
    <col min="1297" max="1297" width="43.6640625" style="1824" customWidth="1"/>
    <col min="1298" max="1298" width="193.33203125" style="1824" customWidth="1"/>
    <col min="1299" max="1314" width="51" style="1824" customWidth="1"/>
    <col min="1315" max="1315" width="192.33203125" style="1824" customWidth="1"/>
    <col min="1316" max="1327" width="61" style="1824" customWidth="1"/>
    <col min="1328" max="1328" width="193.33203125" style="1824" customWidth="1"/>
    <col min="1329" max="1344" width="56" style="1824" customWidth="1"/>
    <col min="1345" max="1345" width="59" style="1824" customWidth="1"/>
    <col min="1346" max="1346" width="46" style="1824" customWidth="1"/>
    <col min="1347" max="1532" width="9.33203125" style="1824"/>
    <col min="1533" max="1533" width="193.33203125" style="1824" customWidth="1"/>
    <col min="1534" max="1534" width="47.1640625" style="1824" customWidth="1"/>
    <col min="1535" max="1535" width="47.33203125" style="1824" customWidth="1"/>
    <col min="1536" max="1536" width="47.1640625" style="1824" customWidth="1"/>
    <col min="1537" max="1537" width="43.6640625" style="1824" customWidth="1"/>
    <col min="1538" max="1539" width="47.33203125" style="1824" customWidth="1"/>
    <col min="1540" max="1540" width="47.1640625" style="1824" customWidth="1"/>
    <col min="1541" max="1541" width="43.6640625" style="1824" customWidth="1"/>
    <col min="1542" max="1543" width="47.33203125" style="1824" customWidth="1"/>
    <col min="1544" max="1544" width="47.1640625" style="1824" customWidth="1"/>
    <col min="1545" max="1545" width="43.6640625" style="1824" customWidth="1"/>
    <col min="1546" max="1547" width="45" style="1824" customWidth="1"/>
    <col min="1548" max="1548" width="44.83203125" style="1824" customWidth="1"/>
    <col min="1549" max="1549" width="45" style="1824" customWidth="1"/>
    <col min="1550" max="1551" width="47.33203125" style="1824" customWidth="1"/>
    <col min="1552" max="1552" width="47.1640625" style="1824" customWidth="1"/>
    <col min="1553" max="1553" width="43.6640625" style="1824" customWidth="1"/>
    <col min="1554" max="1554" width="193.33203125" style="1824" customWidth="1"/>
    <col min="1555" max="1570" width="51" style="1824" customWidth="1"/>
    <col min="1571" max="1571" width="192.33203125" style="1824" customWidth="1"/>
    <col min="1572" max="1583" width="61" style="1824" customWidth="1"/>
    <col min="1584" max="1584" width="193.33203125" style="1824" customWidth="1"/>
    <col min="1585" max="1600" width="56" style="1824" customWidth="1"/>
    <col min="1601" max="1601" width="59" style="1824" customWidth="1"/>
    <col min="1602" max="1602" width="46" style="1824" customWidth="1"/>
    <col min="1603" max="1788" width="9.33203125" style="1824"/>
    <col min="1789" max="1789" width="193.33203125" style="1824" customWidth="1"/>
    <col min="1790" max="1790" width="47.1640625" style="1824" customWidth="1"/>
    <col min="1791" max="1791" width="47.33203125" style="1824" customWidth="1"/>
    <col min="1792" max="1792" width="47.1640625" style="1824" customWidth="1"/>
    <col min="1793" max="1793" width="43.6640625" style="1824" customWidth="1"/>
    <col min="1794" max="1795" width="47.33203125" style="1824" customWidth="1"/>
    <col min="1796" max="1796" width="47.1640625" style="1824" customWidth="1"/>
    <col min="1797" max="1797" width="43.6640625" style="1824" customWidth="1"/>
    <col min="1798" max="1799" width="47.33203125" style="1824" customWidth="1"/>
    <col min="1800" max="1800" width="47.1640625" style="1824" customWidth="1"/>
    <col min="1801" max="1801" width="43.6640625" style="1824" customWidth="1"/>
    <col min="1802" max="1803" width="45" style="1824" customWidth="1"/>
    <col min="1804" max="1804" width="44.83203125" style="1824" customWidth="1"/>
    <col min="1805" max="1805" width="45" style="1824" customWidth="1"/>
    <col min="1806" max="1807" width="47.33203125" style="1824" customWidth="1"/>
    <col min="1808" max="1808" width="47.1640625" style="1824" customWidth="1"/>
    <col min="1809" max="1809" width="43.6640625" style="1824" customWidth="1"/>
    <col min="1810" max="1810" width="193.33203125" style="1824" customWidth="1"/>
    <col min="1811" max="1826" width="51" style="1824" customWidth="1"/>
    <col min="1827" max="1827" width="192.33203125" style="1824" customWidth="1"/>
    <col min="1828" max="1839" width="61" style="1824" customWidth="1"/>
    <col min="1840" max="1840" width="193.33203125" style="1824" customWidth="1"/>
    <col min="1841" max="1856" width="56" style="1824" customWidth="1"/>
    <col min="1857" max="1857" width="59" style="1824" customWidth="1"/>
    <col min="1858" max="1858" width="46" style="1824" customWidth="1"/>
    <col min="1859" max="2044" width="9.33203125" style="1824"/>
    <col min="2045" max="2045" width="193.33203125" style="1824" customWidth="1"/>
    <col min="2046" max="2046" width="47.1640625" style="1824" customWidth="1"/>
    <col min="2047" max="2047" width="47.33203125" style="1824" customWidth="1"/>
    <col min="2048" max="2048" width="47.1640625" style="1824" customWidth="1"/>
    <col min="2049" max="2049" width="43.6640625" style="1824" customWidth="1"/>
    <col min="2050" max="2051" width="47.33203125" style="1824" customWidth="1"/>
    <col min="2052" max="2052" width="47.1640625" style="1824" customWidth="1"/>
    <col min="2053" max="2053" width="43.6640625" style="1824" customWidth="1"/>
    <col min="2054" max="2055" width="47.33203125" style="1824" customWidth="1"/>
    <col min="2056" max="2056" width="47.1640625" style="1824" customWidth="1"/>
    <col min="2057" max="2057" width="43.6640625" style="1824" customWidth="1"/>
    <col min="2058" max="2059" width="45" style="1824" customWidth="1"/>
    <col min="2060" max="2060" width="44.83203125" style="1824" customWidth="1"/>
    <col min="2061" max="2061" width="45" style="1824" customWidth="1"/>
    <col min="2062" max="2063" width="47.33203125" style="1824" customWidth="1"/>
    <col min="2064" max="2064" width="47.1640625" style="1824" customWidth="1"/>
    <col min="2065" max="2065" width="43.6640625" style="1824" customWidth="1"/>
    <col min="2066" max="2066" width="193.33203125" style="1824" customWidth="1"/>
    <col min="2067" max="2082" width="51" style="1824" customWidth="1"/>
    <col min="2083" max="2083" width="192.33203125" style="1824" customWidth="1"/>
    <col min="2084" max="2095" width="61" style="1824" customWidth="1"/>
    <col min="2096" max="2096" width="193.33203125" style="1824" customWidth="1"/>
    <col min="2097" max="2112" width="56" style="1824" customWidth="1"/>
    <col min="2113" max="2113" width="59" style="1824" customWidth="1"/>
    <col min="2114" max="2114" width="46" style="1824" customWidth="1"/>
    <col min="2115" max="2300" width="9.33203125" style="1824"/>
    <col min="2301" max="2301" width="193.33203125" style="1824" customWidth="1"/>
    <col min="2302" max="2302" width="47.1640625" style="1824" customWidth="1"/>
    <col min="2303" max="2303" width="47.33203125" style="1824" customWidth="1"/>
    <col min="2304" max="2304" width="47.1640625" style="1824" customWidth="1"/>
    <col min="2305" max="2305" width="43.6640625" style="1824" customWidth="1"/>
    <col min="2306" max="2307" width="47.33203125" style="1824" customWidth="1"/>
    <col min="2308" max="2308" width="47.1640625" style="1824" customWidth="1"/>
    <col min="2309" max="2309" width="43.6640625" style="1824" customWidth="1"/>
    <col min="2310" max="2311" width="47.33203125" style="1824" customWidth="1"/>
    <col min="2312" max="2312" width="47.1640625" style="1824" customWidth="1"/>
    <col min="2313" max="2313" width="43.6640625" style="1824" customWidth="1"/>
    <col min="2314" max="2315" width="45" style="1824" customWidth="1"/>
    <col min="2316" max="2316" width="44.83203125" style="1824" customWidth="1"/>
    <col min="2317" max="2317" width="45" style="1824" customWidth="1"/>
    <col min="2318" max="2319" width="47.33203125" style="1824" customWidth="1"/>
    <col min="2320" max="2320" width="47.1640625" style="1824" customWidth="1"/>
    <col min="2321" max="2321" width="43.6640625" style="1824" customWidth="1"/>
    <col min="2322" max="2322" width="193.33203125" style="1824" customWidth="1"/>
    <col min="2323" max="2338" width="51" style="1824" customWidth="1"/>
    <col min="2339" max="2339" width="192.33203125" style="1824" customWidth="1"/>
    <col min="2340" max="2351" width="61" style="1824" customWidth="1"/>
    <col min="2352" max="2352" width="193.33203125" style="1824" customWidth="1"/>
    <col min="2353" max="2368" width="56" style="1824" customWidth="1"/>
    <col min="2369" max="2369" width="59" style="1824" customWidth="1"/>
    <col min="2370" max="2370" width="46" style="1824" customWidth="1"/>
    <col min="2371" max="2556" width="9.33203125" style="1824"/>
    <col min="2557" max="2557" width="193.33203125" style="1824" customWidth="1"/>
    <col min="2558" max="2558" width="47.1640625" style="1824" customWidth="1"/>
    <col min="2559" max="2559" width="47.33203125" style="1824" customWidth="1"/>
    <col min="2560" max="2560" width="47.1640625" style="1824" customWidth="1"/>
    <col min="2561" max="2561" width="43.6640625" style="1824" customWidth="1"/>
    <col min="2562" max="2563" width="47.33203125" style="1824" customWidth="1"/>
    <col min="2564" max="2564" width="47.1640625" style="1824" customWidth="1"/>
    <col min="2565" max="2565" width="43.6640625" style="1824" customWidth="1"/>
    <col min="2566" max="2567" width="47.33203125" style="1824" customWidth="1"/>
    <col min="2568" max="2568" width="47.1640625" style="1824" customWidth="1"/>
    <col min="2569" max="2569" width="43.6640625" style="1824" customWidth="1"/>
    <col min="2570" max="2571" width="45" style="1824" customWidth="1"/>
    <col min="2572" max="2572" width="44.83203125" style="1824" customWidth="1"/>
    <col min="2573" max="2573" width="45" style="1824" customWidth="1"/>
    <col min="2574" max="2575" width="47.33203125" style="1824" customWidth="1"/>
    <col min="2576" max="2576" width="47.1640625" style="1824" customWidth="1"/>
    <col min="2577" max="2577" width="43.6640625" style="1824" customWidth="1"/>
    <col min="2578" max="2578" width="193.33203125" style="1824" customWidth="1"/>
    <col min="2579" max="2594" width="51" style="1824" customWidth="1"/>
    <col min="2595" max="2595" width="192.33203125" style="1824" customWidth="1"/>
    <col min="2596" max="2607" width="61" style="1824" customWidth="1"/>
    <col min="2608" max="2608" width="193.33203125" style="1824" customWidth="1"/>
    <col min="2609" max="2624" width="56" style="1824" customWidth="1"/>
    <col min="2625" max="2625" width="59" style="1824" customWidth="1"/>
    <col min="2626" max="2626" width="46" style="1824" customWidth="1"/>
    <col min="2627" max="2812" width="9.33203125" style="1824"/>
    <col min="2813" max="2813" width="193.33203125" style="1824" customWidth="1"/>
    <col min="2814" max="2814" width="47.1640625" style="1824" customWidth="1"/>
    <col min="2815" max="2815" width="47.33203125" style="1824" customWidth="1"/>
    <col min="2816" max="2816" width="47.1640625" style="1824" customWidth="1"/>
    <col min="2817" max="2817" width="43.6640625" style="1824" customWidth="1"/>
    <col min="2818" max="2819" width="47.33203125" style="1824" customWidth="1"/>
    <col min="2820" max="2820" width="47.1640625" style="1824" customWidth="1"/>
    <col min="2821" max="2821" width="43.6640625" style="1824" customWidth="1"/>
    <col min="2822" max="2823" width="47.33203125" style="1824" customWidth="1"/>
    <col min="2824" max="2824" width="47.1640625" style="1824" customWidth="1"/>
    <col min="2825" max="2825" width="43.6640625" style="1824" customWidth="1"/>
    <col min="2826" max="2827" width="45" style="1824" customWidth="1"/>
    <col min="2828" max="2828" width="44.83203125" style="1824" customWidth="1"/>
    <col min="2829" max="2829" width="45" style="1824" customWidth="1"/>
    <col min="2830" max="2831" width="47.33203125" style="1824" customWidth="1"/>
    <col min="2832" max="2832" width="47.1640625" style="1824" customWidth="1"/>
    <col min="2833" max="2833" width="43.6640625" style="1824" customWidth="1"/>
    <col min="2834" max="2834" width="193.33203125" style="1824" customWidth="1"/>
    <col min="2835" max="2850" width="51" style="1824" customWidth="1"/>
    <col min="2851" max="2851" width="192.33203125" style="1824" customWidth="1"/>
    <col min="2852" max="2863" width="61" style="1824" customWidth="1"/>
    <col min="2864" max="2864" width="193.33203125" style="1824" customWidth="1"/>
    <col min="2865" max="2880" width="56" style="1824" customWidth="1"/>
    <col min="2881" max="2881" width="59" style="1824" customWidth="1"/>
    <col min="2882" max="2882" width="46" style="1824" customWidth="1"/>
    <col min="2883" max="3068" width="9.33203125" style="1824"/>
    <col min="3069" max="3069" width="193.33203125" style="1824" customWidth="1"/>
    <col min="3070" max="3070" width="47.1640625" style="1824" customWidth="1"/>
    <col min="3071" max="3071" width="47.33203125" style="1824" customWidth="1"/>
    <col min="3072" max="3072" width="47.1640625" style="1824" customWidth="1"/>
    <col min="3073" max="3073" width="43.6640625" style="1824" customWidth="1"/>
    <col min="3074" max="3075" width="47.33203125" style="1824" customWidth="1"/>
    <col min="3076" max="3076" width="47.1640625" style="1824" customWidth="1"/>
    <col min="3077" max="3077" width="43.6640625" style="1824" customWidth="1"/>
    <col min="3078" max="3079" width="47.33203125" style="1824" customWidth="1"/>
    <col min="3080" max="3080" width="47.1640625" style="1824" customWidth="1"/>
    <col min="3081" max="3081" width="43.6640625" style="1824" customWidth="1"/>
    <col min="3082" max="3083" width="45" style="1824" customWidth="1"/>
    <col min="3084" max="3084" width="44.83203125" style="1824" customWidth="1"/>
    <col min="3085" max="3085" width="45" style="1824" customWidth="1"/>
    <col min="3086" max="3087" width="47.33203125" style="1824" customWidth="1"/>
    <col min="3088" max="3088" width="47.1640625" style="1824" customWidth="1"/>
    <col min="3089" max="3089" width="43.6640625" style="1824" customWidth="1"/>
    <col min="3090" max="3090" width="193.33203125" style="1824" customWidth="1"/>
    <col min="3091" max="3106" width="51" style="1824" customWidth="1"/>
    <col min="3107" max="3107" width="192.33203125" style="1824" customWidth="1"/>
    <col min="3108" max="3119" width="61" style="1824" customWidth="1"/>
    <col min="3120" max="3120" width="193.33203125" style="1824" customWidth="1"/>
    <col min="3121" max="3136" width="56" style="1824" customWidth="1"/>
    <col min="3137" max="3137" width="59" style="1824" customWidth="1"/>
    <col min="3138" max="3138" width="46" style="1824" customWidth="1"/>
    <col min="3139" max="3324" width="9.33203125" style="1824"/>
    <col min="3325" max="3325" width="193.33203125" style="1824" customWidth="1"/>
    <col min="3326" max="3326" width="47.1640625" style="1824" customWidth="1"/>
    <col min="3327" max="3327" width="47.33203125" style="1824" customWidth="1"/>
    <col min="3328" max="3328" width="47.1640625" style="1824" customWidth="1"/>
    <col min="3329" max="3329" width="43.6640625" style="1824" customWidth="1"/>
    <col min="3330" max="3331" width="47.33203125" style="1824" customWidth="1"/>
    <col min="3332" max="3332" width="47.1640625" style="1824" customWidth="1"/>
    <col min="3333" max="3333" width="43.6640625" style="1824" customWidth="1"/>
    <col min="3334" max="3335" width="47.33203125" style="1824" customWidth="1"/>
    <col min="3336" max="3336" width="47.1640625" style="1824" customWidth="1"/>
    <col min="3337" max="3337" width="43.6640625" style="1824" customWidth="1"/>
    <col min="3338" max="3339" width="45" style="1824" customWidth="1"/>
    <col min="3340" max="3340" width="44.83203125" style="1824" customWidth="1"/>
    <col min="3341" max="3341" width="45" style="1824" customWidth="1"/>
    <col min="3342" max="3343" width="47.33203125" style="1824" customWidth="1"/>
    <col min="3344" max="3344" width="47.1640625" style="1824" customWidth="1"/>
    <col min="3345" max="3345" width="43.6640625" style="1824" customWidth="1"/>
    <col min="3346" max="3346" width="193.33203125" style="1824" customWidth="1"/>
    <col min="3347" max="3362" width="51" style="1824" customWidth="1"/>
    <col min="3363" max="3363" width="192.33203125" style="1824" customWidth="1"/>
    <col min="3364" max="3375" width="61" style="1824" customWidth="1"/>
    <col min="3376" max="3376" width="193.33203125" style="1824" customWidth="1"/>
    <col min="3377" max="3392" width="56" style="1824" customWidth="1"/>
    <col min="3393" max="3393" width="59" style="1824" customWidth="1"/>
    <col min="3394" max="3394" width="46" style="1824" customWidth="1"/>
    <col min="3395" max="3580" width="9.33203125" style="1824"/>
    <col min="3581" max="3581" width="193.33203125" style="1824" customWidth="1"/>
    <col min="3582" max="3582" width="47.1640625" style="1824" customWidth="1"/>
    <col min="3583" max="3583" width="47.33203125" style="1824" customWidth="1"/>
    <col min="3584" max="3584" width="47.1640625" style="1824" customWidth="1"/>
    <col min="3585" max="3585" width="43.6640625" style="1824" customWidth="1"/>
    <col min="3586" max="3587" width="47.33203125" style="1824" customWidth="1"/>
    <col min="3588" max="3588" width="47.1640625" style="1824" customWidth="1"/>
    <col min="3589" max="3589" width="43.6640625" style="1824" customWidth="1"/>
    <col min="3590" max="3591" width="47.33203125" style="1824" customWidth="1"/>
    <col min="3592" max="3592" width="47.1640625" style="1824" customWidth="1"/>
    <col min="3593" max="3593" width="43.6640625" style="1824" customWidth="1"/>
    <col min="3594" max="3595" width="45" style="1824" customWidth="1"/>
    <col min="3596" max="3596" width="44.83203125" style="1824" customWidth="1"/>
    <col min="3597" max="3597" width="45" style="1824" customWidth="1"/>
    <col min="3598" max="3599" width="47.33203125" style="1824" customWidth="1"/>
    <col min="3600" max="3600" width="47.1640625" style="1824" customWidth="1"/>
    <col min="3601" max="3601" width="43.6640625" style="1824" customWidth="1"/>
    <col min="3602" max="3602" width="193.33203125" style="1824" customWidth="1"/>
    <col min="3603" max="3618" width="51" style="1824" customWidth="1"/>
    <col min="3619" max="3619" width="192.33203125" style="1824" customWidth="1"/>
    <col min="3620" max="3631" width="61" style="1824" customWidth="1"/>
    <col min="3632" max="3632" width="193.33203125" style="1824" customWidth="1"/>
    <col min="3633" max="3648" width="56" style="1824" customWidth="1"/>
    <col min="3649" max="3649" width="59" style="1824" customWidth="1"/>
    <col min="3650" max="3650" width="46" style="1824" customWidth="1"/>
    <col min="3651" max="3836" width="9.33203125" style="1824"/>
    <col min="3837" max="3837" width="193.33203125" style="1824" customWidth="1"/>
    <col min="3838" max="3838" width="47.1640625" style="1824" customWidth="1"/>
    <col min="3839" max="3839" width="47.33203125" style="1824" customWidth="1"/>
    <col min="3840" max="3840" width="47.1640625" style="1824" customWidth="1"/>
    <col min="3841" max="3841" width="43.6640625" style="1824" customWidth="1"/>
    <col min="3842" max="3843" width="47.33203125" style="1824" customWidth="1"/>
    <col min="3844" max="3844" width="47.1640625" style="1824" customWidth="1"/>
    <col min="3845" max="3845" width="43.6640625" style="1824" customWidth="1"/>
    <col min="3846" max="3847" width="47.33203125" style="1824" customWidth="1"/>
    <col min="3848" max="3848" width="47.1640625" style="1824" customWidth="1"/>
    <col min="3849" max="3849" width="43.6640625" style="1824" customWidth="1"/>
    <col min="3850" max="3851" width="45" style="1824" customWidth="1"/>
    <col min="3852" max="3852" width="44.83203125" style="1824" customWidth="1"/>
    <col min="3853" max="3853" width="45" style="1824" customWidth="1"/>
    <col min="3854" max="3855" width="47.33203125" style="1824" customWidth="1"/>
    <col min="3856" max="3856" width="47.1640625" style="1824" customWidth="1"/>
    <col min="3857" max="3857" width="43.6640625" style="1824" customWidth="1"/>
    <col min="3858" max="3858" width="193.33203125" style="1824" customWidth="1"/>
    <col min="3859" max="3874" width="51" style="1824" customWidth="1"/>
    <col min="3875" max="3875" width="192.33203125" style="1824" customWidth="1"/>
    <col min="3876" max="3887" width="61" style="1824" customWidth="1"/>
    <col min="3888" max="3888" width="193.33203125" style="1824" customWidth="1"/>
    <col min="3889" max="3904" width="56" style="1824" customWidth="1"/>
    <col min="3905" max="3905" width="59" style="1824" customWidth="1"/>
    <col min="3906" max="3906" width="46" style="1824" customWidth="1"/>
    <col min="3907" max="4092" width="9.33203125" style="1824"/>
    <col min="4093" max="4093" width="193.33203125" style="1824" customWidth="1"/>
    <col min="4094" max="4094" width="47.1640625" style="1824" customWidth="1"/>
    <col min="4095" max="4095" width="47.33203125" style="1824" customWidth="1"/>
    <col min="4096" max="4096" width="47.1640625" style="1824" customWidth="1"/>
    <col min="4097" max="4097" width="43.6640625" style="1824" customWidth="1"/>
    <col min="4098" max="4099" width="47.33203125" style="1824" customWidth="1"/>
    <col min="4100" max="4100" width="47.1640625" style="1824" customWidth="1"/>
    <col min="4101" max="4101" width="43.6640625" style="1824" customWidth="1"/>
    <col min="4102" max="4103" width="47.33203125" style="1824" customWidth="1"/>
    <col min="4104" max="4104" width="47.1640625" style="1824" customWidth="1"/>
    <col min="4105" max="4105" width="43.6640625" style="1824" customWidth="1"/>
    <col min="4106" max="4107" width="45" style="1824" customWidth="1"/>
    <col min="4108" max="4108" width="44.83203125" style="1824" customWidth="1"/>
    <col min="4109" max="4109" width="45" style="1824" customWidth="1"/>
    <col min="4110" max="4111" width="47.33203125" style="1824" customWidth="1"/>
    <col min="4112" max="4112" width="47.1640625" style="1824" customWidth="1"/>
    <col min="4113" max="4113" width="43.6640625" style="1824" customWidth="1"/>
    <col min="4114" max="4114" width="193.33203125" style="1824" customWidth="1"/>
    <col min="4115" max="4130" width="51" style="1824" customWidth="1"/>
    <col min="4131" max="4131" width="192.33203125" style="1824" customWidth="1"/>
    <col min="4132" max="4143" width="61" style="1824" customWidth="1"/>
    <col min="4144" max="4144" width="193.33203125" style="1824" customWidth="1"/>
    <col min="4145" max="4160" width="56" style="1824" customWidth="1"/>
    <col min="4161" max="4161" width="59" style="1824" customWidth="1"/>
    <col min="4162" max="4162" width="46" style="1824" customWidth="1"/>
    <col min="4163" max="4348" width="9.33203125" style="1824"/>
    <col min="4349" max="4349" width="193.33203125" style="1824" customWidth="1"/>
    <col min="4350" max="4350" width="47.1640625" style="1824" customWidth="1"/>
    <col min="4351" max="4351" width="47.33203125" style="1824" customWidth="1"/>
    <col min="4352" max="4352" width="47.1640625" style="1824" customWidth="1"/>
    <col min="4353" max="4353" width="43.6640625" style="1824" customWidth="1"/>
    <col min="4354" max="4355" width="47.33203125" style="1824" customWidth="1"/>
    <col min="4356" max="4356" width="47.1640625" style="1824" customWidth="1"/>
    <col min="4357" max="4357" width="43.6640625" style="1824" customWidth="1"/>
    <col min="4358" max="4359" width="47.33203125" style="1824" customWidth="1"/>
    <col min="4360" max="4360" width="47.1640625" style="1824" customWidth="1"/>
    <col min="4361" max="4361" width="43.6640625" style="1824" customWidth="1"/>
    <col min="4362" max="4363" width="45" style="1824" customWidth="1"/>
    <col min="4364" max="4364" width="44.83203125" style="1824" customWidth="1"/>
    <col min="4365" max="4365" width="45" style="1824" customWidth="1"/>
    <col min="4366" max="4367" width="47.33203125" style="1824" customWidth="1"/>
    <col min="4368" max="4368" width="47.1640625" style="1824" customWidth="1"/>
    <col min="4369" max="4369" width="43.6640625" style="1824" customWidth="1"/>
    <col min="4370" max="4370" width="193.33203125" style="1824" customWidth="1"/>
    <col min="4371" max="4386" width="51" style="1824" customWidth="1"/>
    <col min="4387" max="4387" width="192.33203125" style="1824" customWidth="1"/>
    <col min="4388" max="4399" width="61" style="1824" customWidth="1"/>
    <col min="4400" max="4400" width="193.33203125" style="1824" customWidth="1"/>
    <col min="4401" max="4416" width="56" style="1824" customWidth="1"/>
    <col min="4417" max="4417" width="59" style="1824" customWidth="1"/>
    <col min="4418" max="4418" width="46" style="1824" customWidth="1"/>
    <col min="4419" max="4604" width="9.33203125" style="1824"/>
    <col min="4605" max="4605" width="193.33203125" style="1824" customWidth="1"/>
    <col min="4606" max="4606" width="47.1640625" style="1824" customWidth="1"/>
    <col min="4607" max="4607" width="47.33203125" style="1824" customWidth="1"/>
    <col min="4608" max="4608" width="47.1640625" style="1824" customWidth="1"/>
    <col min="4609" max="4609" width="43.6640625" style="1824" customWidth="1"/>
    <col min="4610" max="4611" width="47.33203125" style="1824" customWidth="1"/>
    <col min="4612" max="4612" width="47.1640625" style="1824" customWidth="1"/>
    <col min="4613" max="4613" width="43.6640625" style="1824" customWidth="1"/>
    <col min="4614" max="4615" width="47.33203125" style="1824" customWidth="1"/>
    <col min="4616" max="4616" width="47.1640625" style="1824" customWidth="1"/>
    <col min="4617" max="4617" width="43.6640625" style="1824" customWidth="1"/>
    <col min="4618" max="4619" width="45" style="1824" customWidth="1"/>
    <col min="4620" max="4620" width="44.83203125" style="1824" customWidth="1"/>
    <col min="4621" max="4621" width="45" style="1824" customWidth="1"/>
    <col min="4622" max="4623" width="47.33203125" style="1824" customWidth="1"/>
    <col min="4624" max="4624" width="47.1640625" style="1824" customWidth="1"/>
    <col min="4625" max="4625" width="43.6640625" style="1824" customWidth="1"/>
    <col min="4626" max="4626" width="193.33203125" style="1824" customWidth="1"/>
    <col min="4627" max="4642" width="51" style="1824" customWidth="1"/>
    <col min="4643" max="4643" width="192.33203125" style="1824" customWidth="1"/>
    <col min="4644" max="4655" width="61" style="1824" customWidth="1"/>
    <col min="4656" max="4656" width="193.33203125" style="1824" customWidth="1"/>
    <col min="4657" max="4672" width="56" style="1824" customWidth="1"/>
    <col min="4673" max="4673" width="59" style="1824" customWidth="1"/>
    <col min="4674" max="4674" width="46" style="1824" customWidth="1"/>
    <col min="4675" max="4860" width="9.33203125" style="1824"/>
    <col min="4861" max="4861" width="193.33203125" style="1824" customWidth="1"/>
    <col min="4862" max="4862" width="47.1640625" style="1824" customWidth="1"/>
    <col min="4863" max="4863" width="47.33203125" style="1824" customWidth="1"/>
    <col min="4864" max="4864" width="47.1640625" style="1824" customWidth="1"/>
    <col min="4865" max="4865" width="43.6640625" style="1824" customWidth="1"/>
    <col min="4866" max="4867" width="47.33203125" style="1824" customWidth="1"/>
    <col min="4868" max="4868" width="47.1640625" style="1824" customWidth="1"/>
    <col min="4869" max="4869" width="43.6640625" style="1824" customWidth="1"/>
    <col min="4870" max="4871" width="47.33203125" style="1824" customWidth="1"/>
    <col min="4872" max="4872" width="47.1640625" style="1824" customWidth="1"/>
    <col min="4873" max="4873" width="43.6640625" style="1824" customWidth="1"/>
    <col min="4874" max="4875" width="45" style="1824" customWidth="1"/>
    <col min="4876" max="4876" width="44.83203125" style="1824" customWidth="1"/>
    <col min="4877" max="4877" width="45" style="1824" customWidth="1"/>
    <col min="4878" max="4879" width="47.33203125" style="1824" customWidth="1"/>
    <col min="4880" max="4880" width="47.1640625" style="1824" customWidth="1"/>
    <col min="4881" max="4881" width="43.6640625" style="1824" customWidth="1"/>
    <col min="4882" max="4882" width="193.33203125" style="1824" customWidth="1"/>
    <col min="4883" max="4898" width="51" style="1824" customWidth="1"/>
    <col min="4899" max="4899" width="192.33203125" style="1824" customWidth="1"/>
    <col min="4900" max="4911" width="61" style="1824" customWidth="1"/>
    <col min="4912" max="4912" width="193.33203125" style="1824" customWidth="1"/>
    <col min="4913" max="4928" width="56" style="1824" customWidth="1"/>
    <col min="4929" max="4929" width="59" style="1824" customWidth="1"/>
    <col min="4930" max="4930" width="46" style="1824" customWidth="1"/>
    <col min="4931" max="5116" width="9.33203125" style="1824"/>
    <col min="5117" max="5117" width="193.33203125" style="1824" customWidth="1"/>
    <col min="5118" max="5118" width="47.1640625" style="1824" customWidth="1"/>
    <col min="5119" max="5119" width="47.33203125" style="1824" customWidth="1"/>
    <col min="5120" max="5120" width="47.1640625" style="1824" customWidth="1"/>
    <col min="5121" max="5121" width="43.6640625" style="1824" customWidth="1"/>
    <col min="5122" max="5123" width="47.33203125" style="1824" customWidth="1"/>
    <col min="5124" max="5124" width="47.1640625" style="1824" customWidth="1"/>
    <col min="5125" max="5125" width="43.6640625" style="1824" customWidth="1"/>
    <col min="5126" max="5127" width="47.33203125" style="1824" customWidth="1"/>
    <col min="5128" max="5128" width="47.1640625" style="1824" customWidth="1"/>
    <col min="5129" max="5129" width="43.6640625" style="1824" customWidth="1"/>
    <col min="5130" max="5131" width="45" style="1824" customWidth="1"/>
    <col min="5132" max="5132" width="44.83203125" style="1824" customWidth="1"/>
    <col min="5133" max="5133" width="45" style="1824" customWidth="1"/>
    <col min="5134" max="5135" width="47.33203125" style="1824" customWidth="1"/>
    <col min="5136" max="5136" width="47.1640625" style="1824" customWidth="1"/>
    <col min="5137" max="5137" width="43.6640625" style="1824" customWidth="1"/>
    <col min="5138" max="5138" width="193.33203125" style="1824" customWidth="1"/>
    <col min="5139" max="5154" width="51" style="1824" customWidth="1"/>
    <col min="5155" max="5155" width="192.33203125" style="1824" customWidth="1"/>
    <col min="5156" max="5167" width="61" style="1824" customWidth="1"/>
    <col min="5168" max="5168" width="193.33203125" style="1824" customWidth="1"/>
    <col min="5169" max="5184" width="56" style="1824" customWidth="1"/>
    <col min="5185" max="5185" width="59" style="1824" customWidth="1"/>
    <col min="5186" max="5186" width="46" style="1824" customWidth="1"/>
    <col min="5187" max="5372" width="9.33203125" style="1824"/>
    <col min="5373" max="5373" width="193.33203125" style="1824" customWidth="1"/>
    <col min="5374" max="5374" width="47.1640625" style="1824" customWidth="1"/>
    <col min="5375" max="5375" width="47.33203125" style="1824" customWidth="1"/>
    <col min="5376" max="5376" width="47.1640625" style="1824" customWidth="1"/>
    <col min="5377" max="5377" width="43.6640625" style="1824" customWidth="1"/>
    <col min="5378" max="5379" width="47.33203125" style="1824" customWidth="1"/>
    <col min="5380" max="5380" width="47.1640625" style="1824" customWidth="1"/>
    <col min="5381" max="5381" width="43.6640625" style="1824" customWidth="1"/>
    <col min="5382" max="5383" width="47.33203125" style="1824" customWidth="1"/>
    <col min="5384" max="5384" width="47.1640625" style="1824" customWidth="1"/>
    <col min="5385" max="5385" width="43.6640625" style="1824" customWidth="1"/>
    <col min="5386" max="5387" width="45" style="1824" customWidth="1"/>
    <col min="5388" max="5388" width="44.83203125" style="1824" customWidth="1"/>
    <col min="5389" max="5389" width="45" style="1824" customWidth="1"/>
    <col min="5390" max="5391" width="47.33203125" style="1824" customWidth="1"/>
    <col min="5392" max="5392" width="47.1640625" style="1824" customWidth="1"/>
    <col min="5393" max="5393" width="43.6640625" style="1824" customWidth="1"/>
    <col min="5394" max="5394" width="193.33203125" style="1824" customWidth="1"/>
    <col min="5395" max="5410" width="51" style="1824" customWidth="1"/>
    <col min="5411" max="5411" width="192.33203125" style="1824" customWidth="1"/>
    <col min="5412" max="5423" width="61" style="1824" customWidth="1"/>
    <col min="5424" max="5424" width="193.33203125" style="1824" customWidth="1"/>
    <col min="5425" max="5440" width="56" style="1824" customWidth="1"/>
    <col min="5441" max="5441" width="59" style="1824" customWidth="1"/>
    <col min="5442" max="5442" width="46" style="1824" customWidth="1"/>
    <col min="5443" max="5628" width="9.33203125" style="1824"/>
    <col min="5629" max="5629" width="193.33203125" style="1824" customWidth="1"/>
    <col min="5630" max="5630" width="47.1640625" style="1824" customWidth="1"/>
    <col min="5631" max="5631" width="47.33203125" style="1824" customWidth="1"/>
    <col min="5632" max="5632" width="47.1640625" style="1824" customWidth="1"/>
    <col min="5633" max="5633" width="43.6640625" style="1824" customWidth="1"/>
    <col min="5634" max="5635" width="47.33203125" style="1824" customWidth="1"/>
    <col min="5636" max="5636" width="47.1640625" style="1824" customWidth="1"/>
    <col min="5637" max="5637" width="43.6640625" style="1824" customWidth="1"/>
    <col min="5638" max="5639" width="47.33203125" style="1824" customWidth="1"/>
    <col min="5640" max="5640" width="47.1640625" style="1824" customWidth="1"/>
    <col min="5641" max="5641" width="43.6640625" style="1824" customWidth="1"/>
    <col min="5642" max="5643" width="45" style="1824" customWidth="1"/>
    <col min="5644" max="5644" width="44.83203125" style="1824" customWidth="1"/>
    <col min="5645" max="5645" width="45" style="1824" customWidth="1"/>
    <col min="5646" max="5647" width="47.33203125" style="1824" customWidth="1"/>
    <col min="5648" max="5648" width="47.1640625" style="1824" customWidth="1"/>
    <col min="5649" max="5649" width="43.6640625" style="1824" customWidth="1"/>
    <col min="5650" max="5650" width="193.33203125" style="1824" customWidth="1"/>
    <col min="5651" max="5666" width="51" style="1824" customWidth="1"/>
    <col min="5667" max="5667" width="192.33203125" style="1824" customWidth="1"/>
    <col min="5668" max="5679" width="61" style="1824" customWidth="1"/>
    <col min="5680" max="5680" width="193.33203125" style="1824" customWidth="1"/>
    <col min="5681" max="5696" width="56" style="1824" customWidth="1"/>
    <col min="5697" max="5697" width="59" style="1824" customWidth="1"/>
    <col min="5698" max="5698" width="46" style="1824" customWidth="1"/>
    <col min="5699" max="5884" width="9.33203125" style="1824"/>
    <col min="5885" max="5885" width="193.33203125" style="1824" customWidth="1"/>
    <col min="5886" max="5886" width="47.1640625" style="1824" customWidth="1"/>
    <col min="5887" max="5887" width="47.33203125" style="1824" customWidth="1"/>
    <col min="5888" max="5888" width="47.1640625" style="1824" customWidth="1"/>
    <col min="5889" max="5889" width="43.6640625" style="1824" customWidth="1"/>
    <col min="5890" max="5891" width="47.33203125" style="1824" customWidth="1"/>
    <col min="5892" max="5892" width="47.1640625" style="1824" customWidth="1"/>
    <col min="5893" max="5893" width="43.6640625" style="1824" customWidth="1"/>
    <col min="5894" max="5895" width="47.33203125" style="1824" customWidth="1"/>
    <col min="5896" max="5896" width="47.1640625" style="1824" customWidth="1"/>
    <col min="5897" max="5897" width="43.6640625" style="1824" customWidth="1"/>
    <col min="5898" max="5899" width="45" style="1824" customWidth="1"/>
    <col min="5900" max="5900" width="44.83203125" style="1824" customWidth="1"/>
    <col min="5901" max="5901" width="45" style="1824" customWidth="1"/>
    <col min="5902" max="5903" width="47.33203125" style="1824" customWidth="1"/>
    <col min="5904" max="5904" width="47.1640625" style="1824" customWidth="1"/>
    <col min="5905" max="5905" width="43.6640625" style="1824" customWidth="1"/>
    <col min="5906" max="5906" width="193.33203125" style="1824" customWidth="1"/>
    <col min="5907" max="5922" width="51" style="1824" customWidth="1"/>
    <col min="5923" max="5923" width="192.33203125" style="1824" customWidth="1"/>
    <col min="5924" max="5935" width="61" style="1824" customWidth="1"/>
    <col min="5936" max="5936" width="193.33203125" style="1824" customWidth="1"/>
    <col min="5937" max="5952" width="56" style="1824" customWidth="1"/>
    <col min="5953" max="5953" width="59" style="1824" customWidth="1"/>
    <col min="5954" max="5954" width="46" style="1824" customWidth="1"/>
    <col min="5955" max="6140" width="9.33203125" style="1824"/>
    <col min="6141" max="6141" width="193.33203125" style="1824" customWidth="1"/>
    <col min="6142" max="6142" width="47.1640625" style="1824" customWidth="1"/>
    <col min="6143" max="6143" width="47.33203125" style="1824" customWidth="1"/>
    <col min="6144" max="6144" width="47.1640625" style="1824" customWidth="1"/>
    <col min="6145" max="6145" width="43.6640625" style="1824" customWidth="1"/>
    <col min="6146" max="6147" width="47.33203125" style="1824" customWidth="1"/>
    <col min="6148" max="6148" width="47.1640625" style="1824" customWidth="1"/>
    <col min="6149" max="6149" width="43.6640625" style="1824" customWidth="1"/>
    <col min="6150" max="6151" width="47.33203125" style="1824" customWidth="1"/>
    <col min="6152" max="6152" width="47.1640625" style="1824" customWidth="1"/>
    <col min="6153" max="6153" width="43.6640625" style="1824" customWidth="1"/>
    <col min="6154" max="6155" width="45" style="1824" customWidth="1"/>
    <col min="6156" max="6156" width="44.83203125" style="1824" customWidth="1"/>
    <col min="6157" max="6157" width="45" style="1824" customWidth="1"/>
    <col min="6158" max="6159" width="47.33203125" style="1824" customWidth="1"/>
    <col min="6160" max="6160" width="47.1640625" style="1824" customWidth="1"/>
    <col min="6161" max="6161" width="43.6640625" style="1824" customWidth="1"/>
    <col min="6162" max="6162" width="193.33203125" style="1824" customWidth="1"/>
    <col min="6163" max="6178" width="51" style="1824" customWidth="1"/>
    <col min="6179" max="6179" width="192.33203125" style="1824" customWidth="1"/>
    <col min="6180" max="6191" width="61" style="1824" customWidth="1"/>
    <col min="6192" max="6192" width="193.33203125" style="1824" customWidth="1"/>
    <col min="6193" max="6208" width="56" style="1824" customWidth="1"/>
    <col min="6209" max="6209" width="59" style="1824" customWidth="1"/>
    <col min="6210" max="6210" width="46" style="1824" customWidth="1"/>
    <col min="6211" max="6396" width="9.33203125" style="1824"/>
    <col min="6397" max="6397" width="193.33203125" style="1824" customWidth="1"/>
    <col min="6398" max="6398" width="47.1640625" style="1824" customWidth="1"/>
    <col min="6399" max="6399" width="47.33203125" style="1824" customWidth="1"/>
    <col min="6400" max="6400" width="47.1640625" style="1824" customWidth="1"/>
    <col min="6401" max="6401" width="43.6640625" style="1824" customWidth="1"/>
    <col min="6402" max="6403" width="47.33203125" style="1824" customWidth="1"/>
    <col min="6404" max="6404" width="47.1640625" style="1824" customWidth="1"/>
    <col min="6405" max="6405" width="43.6640625" style="1824" customWidth="1"/>
    <col min="6406" max="6407" width="47.33203125" style="1824" customWidth="1"/>
    <col min="6408" max="6408" width="47.1640625" style="1824" customWidth="1"/>
    <col min="6409" max="6409" width="43.6640625" style="1824" customWidth="1"/>
    <col min="6410" max="6411" width="45" style="1824" customWidth="1"/>
    <col min="6412" max="6412" width="44.83203125" style="1824" customWidth="1"/>
    <col min="6413" max="6413" width="45" style="1824" customWidth="1"/>
    <col min="6414" max="6415" width="47.33203125" style="1824" customWidth="1"/>
    <col min="6416" max="6416" width="47.1640625" style="1824" customWidth="1"/>
    <col min="6417" max="6417" width="43.6640625" style="1824" customWidth="1"/>
    <col min="6418" max="6418" width="193.33203125" style="1824" customWidth="1"/>
    <col min="6419" max="6434" width="51" style="1824" customWidth="1"/>
    <col min="6435" max="6435" width="192.33203125" style="1824" customWidth="1"/>
    <col min="6436" max="6447" width="61" style="1824" customWidth="1"/>
    <col min="6448" max="6448" width="193.33203125" style="1824" customWidth="1"/>
    <col min="6449" max="6464" width="56" style="1824" customWidth="1"/>
    <col min="6465" max="6465" width="59" style="1824" customWidth="1"/>
    <col min="6466" max="6466" width="46" style="1824" customWidth="1"/>
    <col min="6467" max="6652" width="9.33203125" style="1824"/>
    <col min="6653" max="6653" width="193.33203125" style="1824" customWidth="1"/>
    <col min="6654" max="6654" width="47.1640625" style="1824" customWidth="1"/>
    <col min="6655" max="6655" width="47.33203125" style="1824" customWidth="1"/>
    <col min="6656" max="6656" width="47.1640625" style="1824" customWidth="1"/>
    <col min="6657" max="6657" width="43.6640625" style="1824" customWidth="1"/>
    <col min="6658" max="6659" width="47.33203125" style="1824" customWidth="1"/>
    <col min="6660" max="6660" width="47.1640625" style="1824" customWidth="1"/>
    <col min="6661" max="6661" width="43.6640625" style="1824" customWidth="1"/>
    <col min="6662" max="6663" width="47.33203125" style="1824" customWidth="1"/>
    <col min="6664" max="6664" width="47.1640625" style="1824" customWidth="1"/>
    <col min="6665" max="6665" width="43.6640625" style="1824" customWidth="1"/>
    <col min="6666" max="6667" width="45" style="1824" customWidth="1"/>
    <col min="6668" max="6668" width="44.83203125" style="1824" customWidth="1"/>
    <col min="6669" max="6669" width="45" style="1824" customWidth="1"/>
    <col min="6670" max="6671" width="47.33203125" style="1824" customWidth="1"/>
    <col min="6672" max="6672" width="47.1640625" style="1824" customWidth="1"/>
    <col min="6673" max="6673" width="43.6640625" style="1824" customWidth="1"/>
    <col min="6674" max="6674" width="193.33203125" style="1824" customWidth="1"/>
    <col min="6675" max="6690" width="51" style="1824" customWidth="1"/>
    <col min="6691" max="6691" width="192.33203125" style="1824" customWidth="1"/>
    <col min="6692" max="6703" width="61" style="1824" customWidth="1"/>
    <col min="6704" max="6704" width="193.33203125" style="1824" customWidth="1"/>
    <col min="6705" max="6720" width="56" style="1824" customWidth="1"/>
    <col min="6721" max="6721" width="59" style="1824" customWidth="1"/>
    <col min="6722" max="6722" width="46" style="1824" customWidth="1"/>
    <col min="6723" max="6908" width="9.33203125" style="1824"/>
    <col min="6909" max="6909" width="193.33203125" style="1824" customWidth="1"/>
    <col min="6910" max="6910" width="47.1640625" style="1824" customWidth="1"/>
    <col min="6911" max="6911" width="47.33203125" style="1824" customWidth="1"/>
    <col min="6912" max="6912" width="47.1640625" style="1824" customWidth="1"/>
    <col min="6913" max="6913" width="43.6640625" style="1824" customWidth="1"/>
    <col min="6914" max="6915" width="47.33203125" style="1824" customWidth="1"/>
    <col min="6916" max="6916" width="47.1640625" style="1824" customWidth="1"/>
    <col min="6917" max="6917" width="43.6640625" style="1824" customWidth="1"/>
    <col min="6918" max="6919" width="47.33203125" style="1824" customWidth="1"/>
    <col min="6920" max="6920" width="47.1640625" style="1824" customWidth="1"/>
    <col min="6921" max="6921" width="43.6640625" style="1824" customWidth="1"/>
    <col min="6922" max="6923" width="45" style="1824" customWidth="1"/>
    <col min="6924" max="6924" width="44.83203125" style="1824" customWidth="1"/>
    <col min="6925" max="6925" width="45" style="1824" customWidth="1"/>
    <col min="6926" max="6927" width="47.33203125" style="1824" customWidth="1"/>
    <col min="6928" max="6928" width="47.1640625" style="1824" customWidth="1"/>
    <col min="6929" max="6929" width="43.6640625" style="1824" customWidth="1"/>
    <col min="6930" max="6930" width="193.33203125" style="1824" customWidth="1"/>
    <col min="6931" max="6946" width="51" style="1824" customWidth="1"/>
    <col min="6947" max="6947" width="192.33203125" style="1824" customWidth="1"/>
    <col min="6948" max="6959" width="61" style="1824" customWidth="1"/>
    <col min="6960" max="6960" width="193.33203125" style="1824" customWidth="1"/>
    <col min="6961" max="6976" width="56" style="1824" customWidth="1"/>
    <col min="6977" max="6977" width="59" style="1824" customWidth="1"/>
    <col min="6978" max="6978" width="46" style="1824" customWidth="1"/>
    <col min="6979" max="7164" width="9.33203125" style="1824"/>
    <col min="7165" max="7165" width="193.33203125" style="1824" customWidth="1"/>
    <col min="7166" max="7166" width="47.1640625" style="1824" customWidth="1"/>
    <col min="7167" max="7167" width="47.33203125" style="1824" customWidth="1"/>
    <col min="7168" max="7168" width="47.1640625" style="1824" customWidth="1"/>
    <col min="7169" max="7169" width="43.6640625" style="1824" customWidth="1"/>
    <col min="7170" max="7171" width="47.33203125" style="1824" customWidth="1"/>
    <col min="7172" max="7172" width="47.1640625" style="1824" customWidth="1"/>
    <col min="7173" max="7173" width="43.6640625" style="1824" customWidth="1"/>
    <col min="7174" max="7175" width="47.33203125" style="1824" customWidth="1"/>
    <col min="7176" max="7176" width="47.1640625" style="1824" customWidth="1"/>
    <col min="7177" max="7177" width="43.6640625" style="1824" customWidth="1"/>
    <col min="7178" max="7179" width="45" style="1824" customWidth="1"/>
    <col min="7180" max="7180" width="44.83203125" style="1824" customWidth="1"/>
    <col min="7181" max="7181" width="45" style="1824" customWidth="1"/>
    <col min="7182" max="7183" width="47.33203125" style="1824" customWidth="1"/>
    <col min="7184" max="7184" width="47.1640625" style="1824" customWidth="1"/>
    <col min="7185" max="7185" width="43.6640625" style="1824" customWidth="1"/>
    <col min="7186" max="7186" width="193.33203125" style="1824" customWidth="1"/>
    <col min="7187" max="7202" width="51" style="1824" customWidth="1"/>
    <col min="7203" max="7203" width="192.33203125" style="1824" customWidth="1"/>
    <col min="7204" max="7215" width="61" style="1824" customWidth="1"/>
    <col min="7216" max="7216" width="193.33203125" style="1824" customWidth="1"/>
    <col min="7217" max="7232" width="56" style="1824" customWidth="1"/>
    <col min="7233" max="7233" width="59" style="1824" customWidth="1"/>
    <col min="7234" max="7234" width="46" style="1824" customWidth="1"/>
    <col min="7235" max="7420" width="9.33203125" style="1824"/>
    <col min="7421" max="7421" width="193.33203125" style="1824" customWidth="1"/>
    <col min="7422" max="7422" width="47.1640625" style="1824" customWidth="1"/>
    <col min="7423" max="7423" width="47.33203125" style="1824" customWidth="1"/>
    <col min="7424" max="7424" width="47.1640625" style="1824" customWidth="1"/>
    <col min="7425" max="7425" width="43.6640625" style="1824" customWidth="1"/>
    <col min="7426" max="7427" width="47.33203125" style="1824" customWidth="1"/>
    <col min="7428" max="7428" width="47.1640625" style="1824" customWidth="1"/>
    <col min="7429" max="7429" width="43.6640625" style="1824" customWidth="1"/>
    <col min="7430" max="7431" width="47.33203125" style="1824" customWidth="1"/>
    <col min="7432" max="7432" width="47.1640625" style="1824" customWidth="1"/>
    <col min="7433" max="7433" width="43.6640625" style="1824" customWidth="1"/>
    <col min="7434" max="7435" width="45" style="1824" customWidth="1"/>
    <col min="7436" max="7436" width="44.83203125" style="1824" customWidth="1"/>
    <col min="7437" max="7437" width="45" style="1824" customWidth="1"/>
    <col min="7438" max="7439" width="47.33203125" style="1824" customWidth="1"/>
    <col min="7440" max="7440" width="47.1640625" style="1824" customWidth="1"/>
    <col min="7441" max="7441" width="43.6640625" style="1824" customWidth="1"/>
    <col min="7442" max="7442" width="193.33203125" style="1824" customWidth="1"/>
    <col min="7443" max="7458" width="51" style="1824" customWidth="1"/>
    <col min="7459" max="7459" width="192.33203125" style="1824" customWidth="1"/>
    <col min="7460" max="7471" width="61" style="1824" customWidth="1"/>
    <col min="7472" max="7472" width="193.33203125" style="1824" customWidth="1"/>
    <col min="7473" max="7488" width="56" style="1824" customWidth="1"/>
    <col min="7489" max="7489" width="59" style="1824" customWidth="1"/>
    <col min="7490" max="7490" width="46" style="1824" customWidth="1"/>
    <col min="7491" max="7676" width="9.33203125" style="1824"/>
    <col min="7677" max="7677" width="193.33203125" style="1824" customWidth="1"/>
    <col min="7678" max="7678" width="47.1640625" style="1824" customWidth="1"/>
    <col min="7679" max="7679" width="47.33203125" style="1824" customWidth="1"/>
    <col min="7680" max="7680" width="47.1640625" style="1824" customWidth="1"/>
    <col min="7681" max="7681" width="43.6640625" style="1824" customWidth="1"/>
    <col min="7682" max="7683" width="47.33203125" style="1824" customWidth="1"/>
    <col min="7684" max="7684" width="47.1640625" style="1824" customWidth="1"/>
    <col min="7685" max="7685" width="43.6640625" style="1824" customWidth="1"/>
    <col min="7686" max="7687" width="47.33203125" style="1824" customWidth="1"/>
    <col min="7688" max="7688" width="47.1640625" style="1824" customWidth="1"/>
    <col min="7689" max="7689" width="43.6640625" style="1824" customWidth="1"/>
    <col min="7690" max="7691" width="45" style="1824" customWidth="1"/>
    <col min="7692" max="7692" width="44.83203125" style="1824" customWidth="1"/>
    <col min="7693" max="7693" width="45" style="1824" customWidth="1"/>
    <col min="7694" max="7695" width="47.33203125" style="1824" customWidth="1"/>
    <col min="7696" max="7696" width="47.1640625" style="1824" customWidth="1"/>
    <col min="7697" max="7697" width="43.6640625" style="1824" customWidth="1"/>
    <col min="7698" max="7698" width="193.33203125" style="1824" customWidth="1"/>
    <col min="7699" max="7714" width="51" style="1824" customWidth="1"/>
    <col min="7715" max="7715" width="192.33203125" style="1824" customWidth="1"/>
    <col min="7716" max="7727" width="61" style="1824" customWidth="1"/>
    <col min="7728" max="7728" width="193.33203125" style="1824" customWidth="1"/>
    <col min="7729" max="7744" width="56" style="1824" customWidth="1"/>
    <col min="7745" max="7745" width="59" style="1824" customWidth="1"/>
    <col min="7746" max="7746" width="46" style="1824" customWidth="1"/>
    <col min="7747" max="7932" width="9.33203125" style="1824"/>
    <col min="7933" max="7933" width="193.33203125" style="1824" customWidth="1"/>
    <col min="7934" max="7934" width="47.1640625" style="1824" customWidth="1"/>
    <col min="7935" max="7935" width="47.33203125" style="1824" customWidth="1"/>
    <col min="7936" max="7936" width="47.1640625" style="1824" customWidth="1"/>
    <col min="7937" max="7937" width="43.6640625" style="1824" customWidth="1"/>
    <col min="7938" max="7939" width="47.33203125" style="1824" customWidth="1"/>
    <col min="7940" max="7940" width="47.1640625" style="1824" customWidth="1"/>
    <col min="7941" max="7941" width="43.6640625" style="1824" customWidth="1"/>
    <col min="7942" max="7943" width="47.33203125" style="1824" customWidth="1"/>
    <col min="7944" max="7944" width="47.1640625" style="1824" customWidth="1"/>
    <col min="7945" max="7945" width="43.6640625" style="1824" customWidth="1"/>
    <col min="7946" max="7947" width="45" style="1824" customWidth="1"/>
    <col min="7948" max="7948" width="44.83203125" style="1824" customWidth="1"/>
    <col min="7949" max="7949" width="45" style="1824" customWidth="1"/>
    <col min="7950" max="7951" width="47.33203125" style="1824" customWidth="1"/>
    <col min="7952" max="7952" width="47.1640625" style="1824" customWidth="1"/>
    <col min="7953" max="7953" width="43.6640625" style="1824" customWidth="1"/>
    <col min="7954" max="7954" width="193.33203125" style="1824" customWidth="1"/>
    <col min="7955" max="7970" width="51" style="1824" customWidth="1"/>
    <col min="7971" max="7971" width="192.33203125" style="1824" customWidth="1"/>
    <col min="7972" max="7983" width="61" style="1824" customWidth="1"/>
    <col min="7984" max="7984" width="193.33203125" style="1824" customWidth="1"/>
    <col min="7985" max="8000" width="56" style="1824" customWidth="1"/>
    <col min="8001" max="8001" width="59" style="1824" customWidth="1"/>
    <col min="8002" max="8002" width="46" style="1824" customWidth="1"/>
    <col min="8003" max="8188" width="9.33203125" style="1824"/>
    <col min="8189" max="8189" width="193.33203125" style="1824" customWidth="1"/>
    <col min="8190" max="8190" width="47.1640625" style="1824" customWidth="1"/>
    <col min="8191" max="8191" width="47.33203125" style="1824" customWidth="1"/>
    <col min="8192" max="8192" width="47.1640625" style="1824" customWidth="1"/>
    <col min="8193" max="8193" width="43.6640625" style="1824" customWidth="1"/>
    <col min="8194" max="8195" width="47.33203125" style="1824" customWidth="1"/>
    <col min="8196" max="8196" width="47.1640625" style="1824" customWidth="1"/>
    <col min="8197" max="8197" width="43.6640625" style="1824" customWidth="1"/>
    <col min="8198" max="8199" width="47.33203125" style="1824" customWidth="1"/>
    <col min="8200" max="8200" width="47.1640625" style="1824" customWidth="1"/>
    <col min="8201" max="8201" width="43.6640625" style="1824" customWidth="1"/>
    <col min="8202" max="8203" width="45" style="1824" customWidth="1"/>
    <col min="8204" max="8204" width="44.83203125" style="1824" customWidth="1"/>
    <col min="8205" max="8205" width="45" style="1824" customWidth="1"/>
    <col min="8206" max="8207" width="47.33203125" style="1824" customWidth="1"/>
    <col min="8208" max="8208" width="47.1640625" style="1824" customWidth="1"/>
    <col min="8209" max="8209" width="43.6640625" style="1824" customWidth="1"/>
    <col min="8210" max="8210" width="193.33203125" style="1824" customWidth="1"/>
    <col min="8211" max="8226" width="51" style="1824" customWidth="1"/>
    <col min="8227" max="8227" width="192.33203125" style="1824" customWidth="1"/>
    <col min="8228" max="8239" width="61" style="1824" customWidth="1"/>
    <col min="8240" max="8240" width="193.33203125" style="1824" customWidth="1"/>
    <col min="8241" max="8256" width="56" style="1824" customWidth="1"/>
    <col min="8257" max="8257" width="59" style="1824" customWidth="1"/>
    <col min="8258" max="8258" width="46" style="1824" customWidth="1"/>
    <col min="8259" max="8444" width="9.33203125" style="1824"/>
    <col min="8445" max="8445" width="193.33203125" style="1824" customWidth="1"/>
    <col min="8446" max="8446" width="47.1640625" style="1824" customWidth="1"/>
    <col min="8447" max="8447" width="47.33203125" style="1824" customWidth="1"/>
    <col min="8448" max="8448" width="47.1640625" style="1824" customWidth="1"/>
    <col min="8449" max="8449" width="43.6640625" style="1824" customWidth="1"/>
    <col min="8450" max="8451" width="47.33203125" style="1824" customWidth="1"/>
    <col min="8452" max="8452" width="47.1640625" style="1824" customWidth="1"/>
    <col min="8453" max="8453" width="43.6640625" style="1824" customWidth="1"/>
    <col min="8454" max="8455" width="47.33203125" style="1824" customWidth="1"/>
    <col min="8456" max="8456" width="47.1640625" style="1824" customWidth="1"/>
    <col min="8457" max="8457" width="43.6640625" style="1824" customWidth="1"/>
    <col min="8458" max="8459" width="45" style="1824" customWidth="1"/>
    <col min="8460" max="8460" width="44.83203125" style="1824" customWidth="1"/>
    <col min="8461" max="8461" width="45" style="1824" customWidth="1"/>
    <col min="8462" max="8463" width="47.33203125" style="1824" customWidth="1"/>
    <col min="8464" max="8464" width="47.1640625" style="1824" customWidth="1"/>
    <col min="8465" max="8465" width="43.6640625" style="1824" customWidth="1"/>
    <col min="8466" max="8466" width="193.33203125" style="1824" customWidth="1"/>
    <col min="8467" max="8482" width="51" style="1824" customWidth="1"/>
    <col min="8483" max="8483" width="192.33203125" style="1824" customWidth="1"/>
    <col min="8484" max="8495" width="61" style="1824" customWidth="1"/>
    <col min="8496" max="8496" width="193.33203125" style="1824" customWidth="1"/>
    <col min="8497" max="8512" width="56" style="1824" customWidth="1"/>
    <col min="8513" max="8513" width="59" style="1824" customWidth="1"/>
    <col min="8514" max="8514" width="46" style="1824" customWidth="1"/>
    <col min="8515" max="8700" width="9.33203125" style="1824"/>
    <col min="8701" max="8701" width="193.33203125" style="1824" customWidth="1"/>
    <col min="8702" max="8702" width="47.1640625" style="1824" customWidth="1"/>
    <col min="8703" max="8703" width="47.33203125" style="1824" customWidth="1"/>
    <col min="8704" max="8704" width="47.1640625" style="1824" customWidth="1"/>
    <col min="8705" max="8705" width="43.6640625" style="1824" customWidth="1"/>
    <col min="8706" max="8707" width="47.33203125" style="1824" customWidth="1"/>
    <col min="8708" max="8708" width="47.1640625" style="1824" customWidth="1"/>
    <col min="8709" max="8709" width="43.6640625" style="1824" customWidth="1"/>
    <col min="8710" max="8711" width="47.33203125" style="1824" customWidth="1"/>
    <col min="8712" max="8712" width="47.1640625" style="1824" customWidth="1"/>
    <col min="8713" max="8713" width="43.6640625" style="1824" customWidth="1"/>
    <col min="8714" max="8715" width="45" style="1824" customWidth="1"/>
    <col min="8716" max="8716" width="44.83203125" style="1824" customWidth="1"/>
    <col min="8717" max="8717" width="45" style="1824" customWidth="1"/>
    <col min="8718" max="8719" width="47.33203125" style="1824" customWidth="1"/>
    <col min="8720" max="8720" width="47.1640625" style="1824" customWidth="1"/>
    <col min="8721" max="8721" width="43.6640625" style="1824" customWidth="1"/>
    <col min="8722" max="8722" width="193.33203125" style="1824" customWidth="1"/>
    <col min="8723" max="8738" width="51" style="1824" customWidth="1"/>
    <col min="8739" max="8739" width="192.33203125" style="1824" customWidth="1"/>
    <col min="8740" max="8751" width="61" style="1824" customWidth="1"/>
    <col min="8752" max="8752" width="193.33203125" style="1824" customWidth="1"/>
    <col min="8753" max="8768" width="56" style="1824" customWidth="1"/>
    <col min="8769" max="8769" width="59" style="1824" customWidth="1"/>
    <col min="8770" max="8770" width="46" style="1824" customWidth="1"/>
    <col min="8771" max="8956" width="9.33203125" style="1824"/>
    <col min="8957" max="8957" width="193.33203125" style="1824" customWidth="1"/>
    <col min="8958" max="8958" width="47.1640625" style="1824" customWidth="1"/>
    <col min="8959" max="8959" width="47.33203125" style="1824" customWidth="1"/>
    <col min="8960" max="8960" width="47.1640625" style="1824" customWidth="1"/>
    <col min="8961" max="8961" width="43.6640625" style="1824" customWidth="1"/>
    <col min="8962" max="8963" width="47.33203125" style="1824" customWidth="1"/>
    <col min="8964" max="8964" width="47.1640625" style="1824" customWidth="1"/>
    <col min="8965" max="8965" width="43.6640625" style="1824" customWidth="1"/>
    <col min="8966" max="8967" width="47.33203125" style="1824" customWidth="1"/>
    <col min="8968" max="8968" width="47.1640625" style="1824" customWidth="1"/>
    <col min="8969" max="8969" width="43.6640625" style="1824" customWidth="1"/>
    <col min="8970" max="8971" width="45" style="1824" customWidth="1"/>
    <col min="8972" max="8972" width="44.83203125" style="1824" customWidth="1"/>
    <col min="8973" max="8973" width="45" style="1824" customWidth="1"/>
    <col min="8974" max="8975" width="47.33203125" style="1824" customWidth="1"/>
    <col min="8976" max="8976" width="47.1640625" style="1824" customWidth="1"/>
    <col min="8977" max="8977" width="43.6640625" style="1824" customWidth="1"/>
    <col min="8978" max="8978" width="193.33203125" style="1824" customWidth="1"/>
    <col min="8979" max="8994" width="51" style="1824" customWidth="1"/>
    <col min="8995" max="8995" width="192.33203125" style="1824" customWidth="1"/>
    <col min="8996" max="9007" width="61" style="1824" customWidth="1"/>
    <col min="9008" max="9008" width="193.33203125" style="1824" customWidth="1"/>
    <col min="9009" max="9024" width="56" style="1824" customWidth="1"/>
    <col min="9025" max="9025" width="59" style="1824" customWidth="1"/>
    <col min="9026" max="9026" width="46" style="1824" customWidth="1"/>
    <col min="9027" max="9212" width="9.33203125" style="1824"/>
    <col min="9213" max="9213" width="193.33203125" style="1824" customWidth="1"/>
    <col min="9214" max="9214" width="47.1640625" style="1824" customWidth="1"/>
    <col min="9215" max="9215" width="47.33203125" style="1824" customWidth="1"/>
    <col min="9216" max="9216" width="47.1640625" style="1824" customWidth="1"/>
    <col min="9217" max="9217" width="43.6640625" style="1824" customWidth="1"/>
    <col min="9218" max="9219" width="47.33203125" style="1824" customWidth="1"/>
    <col min="9220" max="9220" width="47.1640625" style="1824" customWidth="1"/>
    <col min="9221" max="9221" width="43.6640625" style="1824" customWidth="1"/>
    <col min="9222" max="9223" width="47.33203125" style="1824" customWidth="1"/>
    <col min="9224" max="9224" width="47.1640625" style="1824" customWidth="1"/>
    <col min="9225" max="9225" width="43.6640625" style="1824" customWidth="1"/>
    <col min="9226" max="9227" width="45" style="1824" customWidth="1"/>
    <col min="9228" max="9228" width="44.83203125" style="1824" customWidth="1"/>
    <col min="9229" max="9229" width="45" style="1824" customWidth="1"/>
    <col min="9230" max="9231" width="47.33203125" style="1824" customWidth="1"/>
    <col min="9232" max="9232" width="47.1640625" style="1824" customWidth="1"/>
    <col min="9233" max="9233" width="43.6640625" style="1824" customWidth="1"/>
    <col min="9234" max="9234" width="193.33203125" style="1824" customWidth="1"/>
    <col min="9235" max="9250" width="51" style="1824" customWidth="1"/>
    <col min="9251" max="9251" width="192.33203125" style="1824" customWidth="1"/>
    <col min="9252" max="9263" width="61" style="1824" customWidth="1"/>
    <col min="9264" max="9264" width="193.33203125" style="1824" customWidth="1"/>
    <col min="9265" max="9280" width="56" style="1824" customWidth="1"/>
    <col min="9281" max="9281" width="59" style="1824" customWidth="1"/>
    <col min="9282" max="9282" width="46" style="1824" customWidth="1"/>
    <col min="9283" max="9468" width="9.33203125" style="1824"/>
    <col min="9469" max="9469" width="193.33203125" style="1824" customWidth="1"/>
    <col min="9470" max="9470" width="47.1640625" style="1824" customWidth="1"/>
    <col min="9471" max="9471" width="47.33203125" style="1824" customWidth="1"/>
    <col min="9472" max="9472" width="47.1640625" style="1824" customWidth="1"/>
    <col min="9473" max="9473" width="43.6640625" style="1824" customWidth="1"/>
    <col min="9474" max="9475" width="47.33203125" style="1824" customWidth="1"/>
    <col min="9476" max="9476" width="47.1640625" style="1824" customWidth="1"/>
    <col min="9477" max="9477" width="43.6640625" style="1824" customWidth="1"/>
    <col min="9478" max="9479" width="47.33203125" style="1824" customWidth="1"/>
    <col min="9480" max="9480" width="47.1640625" style="1824" customWidth="1"/>
    <col min="9481" max="9481" width="43.6640625" style="1824" customWidth="1"/>
    <col min="9482" max="9483" width="45" style="1824" customWidth="1"/>
    <col min="9484" max="9484" width="44.83203125" style="1824" customWidth="1"/>
    <col min="9485" max="9485" width="45" style="1824" customWidth="1"/>
    <col min="9486" max="9487" width="47.33203125" style="1824" customWidth="1"/>
    <col min="9488" max="9488" width="47.1640625" style="1824" customWidth="1"/>
    <col min="9489" max="9489" width="43.6640625" style="1824" customWidth="1"/>
    <col min="9490" max="9490" width="193.33203125" style="1824" customWidth="1"/>
    <col min="9491" max="9506" width="51" style="1824" customWidth="1"/>
    <col min="9507" max="9507" width="192.33203125" style="1824" customWidth="1"/>
    <col min="9508" max="9519" width="61" style="1824" customWidth="1"/>
    <col min="9520" max="9520" width="193.33203125" style="1824" customWidth="1"/>
    <col min="9521" max="9536" width="56" style="1824" customWidth="1"/>
    <col min="9537" max="9537" width="59" style="1824" customWidth="1"/>
    <col min="9538" max="9538" width="46" style="1824" customWidth="1"/>
    <col min="9539" max="9724" width="9.33203125" style="1824"/>
    <col min="9725" max="9725" width="193.33203125" style="1824" customWidth="1"/>
    <col min="9726" max="9726" width="47.1640625" style="1824" customWidth="1"/>
    <col min="9727" max="9727" width="47.33203125" style="1824" customWidth="1"/>
    <col min="9728" max="9728" width="47.1640625" style="1824" customWidth="1"/>
    <col min="9729" max="9729" width="43.6640625" style="1824" customWidth="1"/>
    <col min="9730" max="9731" width="47.33203125" style="1824" customWidth="1"/>
    <col min="9732" max="9732" width="47.1640625" style="1824" customWidth="1"/>
    <col min="9733" max="9733" width="43.6640625" style="1824" customWidth="1"/>
    <col min="9734" max="9735" width="47.33203125" style="1824" customWidth="1"/>
    <col min="9736" max="9736" width="47.1640625" style="1824" customWidth="1"/>
    <col min="9737" max="9737" width="43.6640625" style="1824" customWidth="1"/>
    <col min="9738" max="9739" width="45" style="1824" customWidth="1"/>
    <col min="9740" max="9740" width="44.83203125" style="1824" customWidth="1"/>
    <col min="9741" max="9741" width="45" style="1824" customWidth="1"/>
    <col min="9742" max="9743" width="47.33203125" style="1824" customWidth="1"/>
    <col min="9744" max="9744" width="47.1640625" style="1824" customWidth="1"/>
    <col min="9745" max="9745" width="43.6640625" style="1824" customWidth="1"/>
    <col min="9746" max="9746" width="193.33203125" style="1824" customWidth="1"/>
    <col min="9747" max="9762" width="51" style="1824" customWidth="1"/>
    <col min="9763" max="9763" width="192.33203125" style="1824" customWidth="1"/>
    <col min="9764" max="9775" width="61" style="1824" customWidth="1"/>
    <col min="9776" max="9776" width="193.33203125" style="1824" customWidth="1"/>
    <col min="9777" max="9792" width="56" style="1824" customWidth="1"/>
    <col min="9793" max="9793" width="59" style="1824" customWidth="1"/>
    <col min="9794" max="9794" width="46" style="1824" customWidth="1"/>
    <col min="9795" max="9980" width="9.33203125" style="1824"/>
    <col min="9981" max="9981" width="193.33203125" style="1824" customWidth="1"/>
    <col min="9982" max="9982" width="47.1640625" style="1824" customWidth="1"/>
    <col min="9983" max="9983" width="47.33203125" style="1824" customWidth="1"/>
    <col min="9984" max="9984" width="47.1640625" style="1824" customWidth="1"/>
    <col min="9985" max="9985" width="43.6640625" style="1824" customWidth="1"/>
    <col min="9986" max="9987" width="47.33203125" style="1824" customWidth="1"/>
    <col min="9988" max="9988" width="47.1640625" style="1824" customWidth="1"/>
    <col min="9989" max="9989" width="43.6640625" style="1824" customWidth="1"/>
    <col min="9990" max="9991" width="47.33203125" style="1824" customWidth="1"/>
    <col min="9992" max="9992" width="47.1640625" style="1824" customWidth="1"/>
    <col min="9993" max="9993" width="43.6640625" style="1824" customWidth="1"/>
    <col min="9994" max="9995" width="45" style="1824" customWidth="1"/>
    <col min="9996" max="9996" width="44.83203125" style="1824" customWidth="1"/>
    <col min="9997" max="9997" width="45" style="1824" customWidth="1"/>
    <col min="9998" max="9999" width="47.33203125" style="1824" customWidth="1"/>
    <col min="10000" max="10000" width="47.1640625" style="1824" customWidth="1"/>
    <col min="10001" max="10001" width="43.6640625" style="1824" customWidth="1"/>
    <col min="10002" max="10002" width="193.33203125" style="1824" customWidth="1"/>
    <col min="10003" max="10018" width="51" style="1824" customWidth="1"/>
    <col min="10019" max="10019" width="192.33203125" style="1824" customWidth="1"/>
    <col min="10020" max="10031" width="61" style="1824" customWidth="1"/>
    <col min="10032" max="10032" width="193.33203125" style="1824" customWidth="1"/>
    <col min="10033" max="10048" width="56" style="1824" customWidth="1"/>
    <col min="10049" max="10049" width="59" style="1824" customWidth="1"/>
    <col min="10050" max="10050" width="46" style="1824" customWidth="1"/>
    <col min="10051" max="10236" width="9.33203125" style="1824"/>
    <col min="10237" max="10237" width="193.33203125" style="1824" customWidth="1"/>
    <col min="10238" max="10238" width="47.1640625" style="1824" customWidth="1"/>
    <col min="10239" max="10239" width="47.33203125" style="1824" customWidth="1"/>
    <col min="10240" max="10240" width="47.1640625" style="1824" customWidth="1"/>
    <col min="10241" max="10241" width="43.6640625" style="1824" customWidth="1"/>
    <col min="10242" max="10243" width="47.33203125" style="1824" customWidth="1"/>
    <col min="10244" max="10244" width="47.1640625" style="1824" customWidth="1"/>
    <col min="10245" max="10245" width="43.6640625" style="1824" customWidth="1"/>
    <col min="10246" max="10247" width="47.33203125" style="1824" customWidth="1"/>
    <col min="10248" max="10248" width="47.1640625" style="1824" customWidth="1"/>
    <col min="10249" max="10249" width="43.6640625" style="1824" customWidth="1"/>
    <col min="10250" max="10251" width="45" style="1824" customWidth="1"/>
    <col min="10252" max="10252" width="44.83203125" style="1824" customWidth="1"/>
    <col min="10253" max="10253" width="45" style="1824" customWidth="1"/>
    <col min="10254" max="10255" width="47.33203125" style="1824" customWidth="1"/>
    <col min="10256" max="10256" width="47.1640625" style="1824" customWidth="1"/>
    <col min="10257" max="10257" width="43.6640625" style="1824" customWidth="1"/>
    <col min="10258" max="10258" width="193.33203125" style="1824" customWidth="1"/>
    <col min="10259" max="10274" width="51" style="1824" customWidth="1"/>
    <col min="10275" max="10275" width="192.33203125" style="1824" customWidth="1"/>
    <col min="10276" max="10287" width="61" style="1824" customWidth="1"/>
    <col min="10288" max="10288" width="193.33203125" style="1824" customWidth="1"/>
    <col min="10289" max="10304" width="56" style="1824" customWidth="1"/>
    <col min="10305" max="10305" width="59" style="1824" customWidth="1"/>
    <col min="10306" max="10306" width="46" style="1824" customWidth="1"/>
    <col min="10307" max="10492" width="9.33203125" style="1824"/>
    <col min="10493" max="10493" width="193.33203125" style="1824" customWidth="1"/>
    <col min="10494" max="10494" width="47.1640625" style="1824" customWidth="1"/>
    <col min="10495" max="10495" width="47.33203125" style="1824" customWidth="1"/>
    <col min="10496" max="10496" width="47.1640625" style="1824" customWidth="1"/>
    <col min="10497" max="10497" width="43.6640625" style="1824" customWidth="1"/>
    <col min="10498" max="10499" width="47.33203125" style="1824" customWidth="1"/>
    <col min="10500" max="10500" width="47.1640625" style="1824" customWidth="1"/>
    <col min="10501" max="10501" width="43.6640625" style="1824" customWidth="1"/>
    <col min="10502" max="10503" width="47.33203125" style="1824" customWidth="1"/>
    <col min="10504" max="10504" width="47.1640625" style="1824" customWidth="1"/>
    <col min="10505" max="10505" width="43.6640625" style="1824" customWidth="1"/>
    <col min="10506" max="10507" width="45" style="1824" customWidth="1"/>
    <col min="10508" max="10508" width="44.83203125" style="1824" customWidth="1"/>
    <col min="10509" max="10509" width="45" style="1824" customWidth="1"/>
    <col min="10510" max="10511" width="47.33203125" style="1824" customWidth="1"/>
    <col min="10512" max="10512" width="47.1640625" style="1824" customWidth="1"/>
    <col min="10513" max="10513" width="43.6640625" style="1824" customWidth="1"/>
    <col min="10514" max="10514" width="193.33203125" style="1824" customWidth="1"/>
    <col min="10515" max="10530" width="51" style="1824" customWidth="1"/>
    <col min="10531" max="10531" width="192.33203125" style="1824" customWidth="1"/>
    <col min="10532" max="10543" width="61" style="1824" customWidth="1"/>
    <col min="10544" max="10544" width="193.33203125" style="1824" customWidth="1"/>
    <col min="10545" max="10560" width="56" style="1824" customWidth="1"/>
    <col min="10561" max="10561" width="59" style="1824" customWidth="1"/>
    <col min="10562" max="10562" width="46" style="1824" customWidth="1"/>
    <col min="10563" max="10748" width="9.33203125" style="1824"/>
    <col min="10749" max="10749" width="193.33203125" style="1824" customWidth="1"/>
    <col min="10750" max="10750" width="47.1640625" style="1824" customWidth="1"/>
    <col min="10751" max="10751" width="47.33203125" style="1824" customWidth="1"/>
    <col min="10752" max="10752" width="47.1640625" style="1824" customWidth="1"/>
    <col min="10753" max="10753" width="43.6640625" style="1824" customWidth="1"/>
    <col min="10754" max="10755" width="47.33203125" style="1824" customWidth="1"/>
    <col min="10756" max="10756" width="47.1640625" style="1824" customWidth="1"/>
    <col min="10757" max="10757" width="43.6640625" style="1824" customWidth="1"/>
    <col min="10758" max="10759" width="47.33203125" style="1824" customWidth="1"/>
    <col min="10760" max="10760" width="47.1640625" style="1824" customWidth="1"/>
    <col min="10761" max="10761" width="43.6640625" style="1824" customWidth="1"/>
    <col min="10762" max="10763" width="45" style="1824" customWidth="1"/>
    <col min="10764" max="10764" width="44.83203125" style="1824" customWidth="1"/>
    <col min="10765" max="10765" width="45" style="1824" customWidth="1"/>
    <col min="10766" max="10767" width="47.33203125" style="1824" customWidth="1"/>
    <col min="10768" max="10768" width="47.1640625" style="1824" customWidth="1"/>
    <col min="10769" max="10769" width="43.6640625" style="1824" customWidth="1"/>
    <col min="10770" max="10770" width="193.33203125" style="1824" customWidth="1"/>
    <col min="10771" max="10786" width="51" style="1824" customWidth="1"/>
    <col min="10787" max="10787" width="192.33203125" style="1824" customWidth="1"/>
    <col min="10788" max="10799" width="61" style="1824" customWidth="1"/>
    <col min="10800" max="10800" width="193.33203125" style="1824" customWidth="1"/>
    <col min="10801" max="10816" width="56" style="1824" customWidth="1"/>
    <col min="10817" max="10817" width="59" style="1824" customWidth="1"/>
    <col min="10818" max="10818" width="46" style="1824" customWidth="1"/>
    <col min="10819" max="11004" width="9.33203125" style="1824"/>
    <col min="11005" max="11005" width="193.33203125" style="1824" customWidth="1"/>
    <col min="11006" max="11006" width="47.1640625" style="1824" customWidth="1"/>
    <col min="11007" max="11007" width="47.33203125" style="1824" customWidth="1"/>
    <col min="11008" max="11008" width="47.1640625" style="1824" customWidth="1"/>
    <col min="11009" max="11009" width="43.6640625" style="1824" customWidth="1"/>
    <col min="11010" max="11011" width="47.33203125" style="1824" customWidth="1"/>
    <col min="11012" max="11012" width="47.1640625" style="1824" customWidth="1"/>
    <col min="11013" max="11013" width="43.6640625" style="1824" customWidth="1"/>
    <col min="11014" max="11015" width="47.33203125" style="1824" customWidth="1"/>
    <col min="11016" max="11016" width="47.1640625" style="1824" customWidth="1"/>
    <col min="11017" max="11017" width="43.6640625" style="1824" customWidth="1"/>
    <col min="11018" max="11019" width="45" style="1824" customWidth="1"/>
    <col min="11020" max="11020" width="44.83203125" style="1824" customWidth="1"/>
    <col min="11021" max="11021" width="45" style="1824" customWidth="1"/>
    <col min="11022" max="11023" width="47.33203125" style="1824" customWidth="1"/>
    <col min="11024" max="11024" width="47.1640625" style="1824" customWidth="1"/>
    <col min="11025" max="11025" width="43.6640625" style="1824" customWidth="1"/>
    <col min="11026" max="11026" width="193.33203125" style="1824" customWidth="1"/>
    <col min="11027" max="11042" width="51" style="1824" customWidth="1"/>
    <col min="11043" max="11043" width="192.33203125" style="1824" customWidth="1"/>
    <col min="11044" max="11055" width="61" style="1824" customWidth="1"/>
    <col min="11056" max="11056" width="193.33203125" style="1824" customWidth="1"/>
    <col min="11057" max="11072" width="56" style="1824" customWidth="1"/>
    <col min="11073" max="11073" width="59" style="1824" customWidth="1"/>
    <col min="11074" max="11074" width="46" style="1824" customWidth="1"/>
    <col min="11075" max="11260" width="9.33203125" style="1824"/>
    <col min="11261" max="11261" width="193.33203125" style="1824" customWidth="1"/>
    <col min="11262" max="11262" width="47.1640625" style="1824" customWidth="1"/>
    <col min="11263" max="11263" width="47.33203125" style="1824" customWidth="1"/>
    <col min="11264" max="11264" width="47.1640625" style="1824" customWidth="1"/>
    <col min="11265" max="11265" width="43.6640625" style="1824" customWidth="1"/>
    <col min="11266" max="11267" width="47.33203125" style="1824" customWidth="1"/>
    <col min="11268" max="11268" width="47.1640625" style="1824" customWidth="1"/>
    <col min="11269" max="11269" width="43.6640625" style="1824" customWidth="1"/>
    <col min="11270" max="11271" width="47.33203125" style="1824" customWidth="1"/>
    <col min="11272" max="11272" width="47.1640625" style="1824" customWidth="1"/>
    <col min="11273" max="11273" width="43.6640625" style="1824" customWidth="1"/>
    <col min="11274" max="11275" width="45" style="1824" customWidth="1"/>
    <col min="11276" max="11276" width="44.83203125" style="1824" customWidth="1"/>
    <col min="11277" max="11277" width="45" style="1824" customWidth="1"/>
    <col min="11278" max="11279" width="47.33203125" style="1824" customWidth="1"/>
    <col min="11280" max="11280" width="47.1640625" style="1824" customWidth="1"/>
    <col min="11281" max="11281" width="43.6640625" style="1824" customWidth="1"/>
    <col min="11282" max="11282" width="193.33203125" style="1824" customWidth="1"/>
    <col min="11283" max="11298" width="51" style="1824" customWidth="1"/>
    <col min="11299" max="11299" width="192.33203125" style="1824" customWidth="1"/>
    <col min="11300" max="11311" width="61" style="1824" customWidth="1"/>
    <col min="11312" max="11312" width="193.33203125" style="1824" customWidth="1"/>
    <col min="11313" max="11328" width="56" style="1824" customWidth="1"/>
    <col min="11329" max="11329" width="59" style="1824" customWidth="1"/>
    <col min="11330" max="11330" width="46" style="1824" customWidth="1"/>
    <col min="11331" max="11516" width="9.33203125" style="1824"/>
    <col min="11517" max="11517" width="193.33203125" style="1824" customWidth="1"/>
    <col min="11518" max="11518" width="47.1640625" style="1824" customWidth="1"/>
    <col min="11519" max="11519" width="47.33203125" style="1824" customWidth="1"/>
    <col min="11520" max="11520" width="47.1640625" style="1824" customWidth="1"/>
    <col min="11521" max="11521" width="43.6640625" style="1824" customWidth="1"/>
    <col min="11522" max="11523" width="47.33203125" style="1824" customWidth="1"/>
    <col min="11524" max="11524" width="47.1640625" style="1824" customWidth="1"/>
    <col min="11525" max="11525" width="43.6640625" style="1824" customWidth="1"/>
    <col min="11526" max="11527" width="47.33203125" style="1824" customWidth="1"/>
    <col min="11528" max="11528" width="47.1640625" style="1824" customWidth="1"/>
    <col min="11529" max="11529" width="43.6640625" style="1824" customWidth="1"/>
    <col min="11530" max="11531" width="45" style="1824" customWidth="1"/>
    <col min="11532" max="11532" width="44.83203125" style="1824" customWidth="1"/>
    <col min="11533" max="11533" width="45" style="1824" customWidth="1"/>
    <col min="11534" max="11535" width="47.33203125" style="1824" customWidth="1"/>
    <col min="11536" max="11536" width="47.1640625" style="1824" customWidth="1"/>
    <col min="11537" max="11537" width="43.6640625" style="1824" customWidth="1"/>
    <col min="11538" max="11538" width="193.33203125" style="1824" customWidth="1"/>
    <col min="11539" max="11554" width="51" style="1824" customWidth="1"/>
    <col min="11555" max="11555" width="192.33203125" style="1824" customWidth="1"/>
    <col min="11556" max="11567" width="61" style="1824" customWidth="1"/>
    <col min="11568" max="11568" width="193.33203125" style="1824" customWidth="1"/>
    <col min="11569" max="11584" width="56" style="1824" customWidth="1"/>
    <col min="11585" max="11585" width="59" style="1824" customWidth="1"/>
    <col min="11586" max="11586" width="46" style="1824" customWidth="1"/>
    <col min="11587" max="11772" width="9.33203125" style="1824"/>
    <col min="11773" max="11773" width="193.33203125" style="1824" customWidth="1"/>
    <col min="11774" max="11774" width="47.1640625" style="1824" customWidth="1"/>
    <col min="11775" max="11775" width="47.33203125" style="1824" customWidth="1"/>
    <col min="11776" max="11776" width="47.1640625" style="1824" customWidth="1"/>
    <col min="11777" max="11777" width="43.6640625" style="1824" customWidth="1"/>
    <col min="11778" max="11779" width="47.33203125" style="1824" customWidth="1"/>
    <col min="11780" max="11780" width="47.1640625" style="1824" customWidth="1"/>
    <col min="11781" max="11781" width="43.6640625" style="1824" customWidth="1"/>
    <col min="11782" max="11783" width="47.33203125" style="1824" customWidth="1"/>
    <col min="11784" max="11784" width="47.1640625" style="1824" customWidth="1"/>
    <col min="11785" max="11785" width="43.6640625" style="1824" customWidth="1"/>
    <col min="11786" max="11787" width="45" style="1824" customWidth="1"/>
    <col min="11788" max="11788" width="44.83203125" style="1824" customWidth="1"/>
    <col min="11789" max="11789" width="45" style="1824" customWidth="1"/>
    <col min="11790" max="11791" width="47.33203125" style="1824" customWidth="1"/>
    <col min="11792" max="11792" width="47.1640625" style="1824" customWidth="1"/>
    <col min="11793" max="11793" width="43.6640625" style="1824" customWidth="1"/>
    <col min="11794" max="11794" width="193.33203125" style="1824" customWidth="1"/>
    <col min="11795" max="11810" width="51" style="1824" customWidth="1"/>
    <col min="11811" max="11811" width="192.33203125" style="1824" customWidth="1"/>
    <col min="11812" max="11823" width="61" style="1824" customWidth="1"/>
    <col min="11824" max="11824" width="193.33203125" style="1824" customWidth="1"/>
    <col min="11825" max="11840" width="56" style="1824" customWidth="1"/>
    <col min="11841" max="11841" width="59" style="1824" customWidth="1"/>
    <col min="11842" max="11842" width="46" style="1824" customWidth="1"/>
    <col min="11843" max="12028" width="9.33203125" style="1824"/>
    <col min="12029" max="12029" width="193.33203125" style="1824" customWidth="1"/>
    <col min="12030" max="12030" width="47.1640625" style="1824" customWidth="1"/>
    <col min="12031" max="12031" width="47.33203125" style="1824" customWidth="1"/>
    <col min="12032" max="12032" width="47.1640625" style="1824" customWidth="1"/>
    <col min="12033" max="12033" width="43.6640625" style="1824" customWidth="1"/>
    <col min="12034" max="12035" width="47.33203125" style="1824" customWidth="1"/>
    <col min="12036" max="12036" width="47.1640625" style="1824" customWidth="1"/>
    <col min="12037" max="12037" width="43.6640625" style="1824" customWidth="1"/>
    <col min="12038" max="12039" width="47.33203125" style="1824" customWidth="1"/>
    <col min="12040" max="12040" width="47.1640625" style="1824" customWidth="1"/>
    <col min="12041" max="12041" width="43.6640625" style="1824" customWidth="1"/>
    <col min="12042" max="12043" width="45" style="1824" customWidth="1"/>
    <col min="12044" max="12044" width="44.83203125" style="1824" customWidth="1"/>
    <col min="12045" max="12045" width="45" style="1824" customWidth="1"/>
    <col min="12046" max="12047" width="47.33203125" style="1824" customWidth="1"/>
    <col min="12048" max="12048" width="47.1640625" style="1824" customWidth="1"/>
    <col min="12049" max="12049" width="43.6640625" style="1824" customWidth="1"/>
    <col min="12050" max="12050" width="193.33203125" style="1824" customWidth="1"/>
    <col min="12051" max="12066" width="51" style="1824" customWidth="1"/>
    <col min="12067" max="12067" width="192.33203125" style="1824" customWidth="1"/>
    <col min="12068" max="12079" width="61" style="1824" customWidth="1"/>
    <col min="12080" max="12080" width="193.33203125" style="1824" customWidth="1"/>
    <col min="12081" max="12096" width="56" style="1824" customWidth="1"/>
    <col min="12097" max="12097" width="59" style="1824" customWidth="1"/>
    <col min="12098" max="12098" width="46" style="1824" customWidth="1"/>
    <col min="12099" max="12284" width="9.33203125" style="1824"/>
    <col min="12285" max="12285" width="193.33203125" style="1824" customWidth="1"/>
    <col min="12286" max="12286" width="47.1640625" style="1824" customWidth="1"/>
    <col min="12287" max="12287" width="47.33203125" style="1824" customWidth="1"/>
    <col min="12288" max="12288" width="47.1640625" style="1824" customWidth="1"/>
    <col min="12289" max="12289" width="43.6640625" style="1824" customWidth="1"/>
    <col min="12290" max="12291" width="47.33203125" style="1824" customWidth="1"/>
    <col min="12292" max="12292" width="47.1640625" style="1824" customWidth="1"/>
    <col min="12293" max="12293" width="43.6640625" style="1824" customWidth="1"/>
    <col min="12294" max="12295" width="47.33203125" style="1824" customWidth="1"/>
    <col min="12296" max="12296" width="47.1640625" style="1824" customWidth="1"/>
    <col min="12297" max="12297" width="43.6640625" style="1824" customWidth="1"/>
    <col min="12298" max="12299" width="45" style="1824" customWidth="1"/>
    <col min="12300" max="12300" width="44.83203125" style="1824" customWidth="1"/>
    <col min="12301" max="12301" width="45" style="1824" customWidth="1"/>
    <col min="12302" max="12303" width="47.33203125" style="1824" customWidth="1"/>
    <col min="12304" max="12304" width="47.1640625" style="1824" customWidth="1"/>
    <col min="12305" max="12305" width="43.6640625" style="1824" customWidth="1"/>
    <col min="12306" max="12306" width="193.33203125" style="1824" customWidth="1"/>
    <col min="12307" max="12322" width="51" style="1824" customWidth="1"/>
    <col min="12323" max="12323" width="192.33203125" style="1824" customWidth="1"/>
    <col min="12324" max="12335" width="61" style="1824" customWidth="1"/>
    <col min="12336" max="12336" width="193.33203125" style="1824" customWidth="1"/>
    <col min="12337" max="12352" width="56" style="1824" customWidth="1"/>
    <col min="12353" max="12353" width="59" style="1824" customWidth="1"/>
    <col min="12354" max="12354" width="46" style="1824" customWidth="1"/>
    <col min="12355" max="12540" width="9.33203125" style="1824"/>
    <col min="12541" max="12541" width="193.33203125" style="1824" customWidth="1"/>
    <col min="12542" max="12542" width="47.1640625" style="1824" customWidth="1"/>
    <col min="12543" max="12543" width="47.33203125" style="1824" customWidth="1"/>
    <col min="12544" max="12544" width="47.1640625" style="1824" customWidth="1"/>
    <col min="12545" max="12545" width="43.6640625" style="1824" customWidth="1"/>
    <col min="12546" max="12547" width="47.33203125" style="1824" customWidth="1"/>
    <col min="12548" max="12548" width="47.1640625" style="1824" customWidth="1"/>
    <col min="12549" max="12549" width="43.6640625" style="1824" customWidth="1"/>
    <col min="12550" max="12551" width="47.33203125" style="1824" customWidth="1"/>
    <col min="12552" max="12552" width="47.1640625" style="1824" customWidth="1"/>
    <col min="12553" max="12553" width="43.6640625" style="1824" customWidth="1"/>
    <col min="12554" max="12555" width="45" style="1824" customWidth="1"/>
    <col min="12556" max="12556" width="44.83203125" style="1824" customWidth="1"/>
    <col min="12557" max="12557" width="45" style="1824" customWidth="1"/>
    <col min="12558" max="12559" width="47.33203125" style="1824" customWidth="1"/>
    <col min="12560" max="12560" width="47.1640625" style="1824" customWidth="1"/>
    <col min="12561" max="12561" width="43.6640625" style="1824" customWidth="1"/>
    <col min="12562" max="12562" width="193.33203125" style="1824" customWidth="1"/>
    <col min="12563" max="12578" width="51" style="1824" customWidth="1"/>
    <col min="12579" max="12579" width="192.33203125" style="1824" customWidth="1"/>
    <col min="12580" max="12591" width="61" style="1824" customWidth="1"/>
    <col min="12592" max="12592" width="193.33203125" style="1824" customWidth="1"/>
    <col min="12593" max="12608" width="56" style="1824" customWidth="1"/>
    <col min="12609" max="12609" width="59" style="1824" customWidth="1"/>
    <col min="12610" max="12610" width="46" style="1824" customWidth="1"/>
    <col min="12611" max="12796" width="9.33203125" style="1824"/>
    <col min="12797" max="12797" width="193.33203125" style="1824" customWidth="1"/>
    <col min="12798" max="12798" width="47.1640625" style="1824" customWidth="1"/>
    <col min="12799" max="12799" width="47.33203125" style="1824" customWidth="1"/>
    <col min="12800" max="12800" width="47.1640625" style="1824" customWidth="1"/>
    <col min="12801" max="12801" width="43.6640625" style="1824" customWidth="1"/>
    <col min="12802" max="12803" width="47.33203125" style="1824" customWidth="1"/>
    <col min="12804" max="12804" width="47.1640625" style="1824" customWidth="1"/>
    <col min="12805" max="12805" width="43.6640625" style="1824" customWidth="1"/>
    <col min="12806" max="12807" width="47.33203125" style="1824" customWidth="1"/>
    <col min="12808" max="12808" width="47.1640625" style="1824" customWidth="1"/>
    <col min="12809" max="12809" width="43.6640625" style="1824" customWidth="1"/>
    <col min="12810" max="12811" width="45" style="1824" customWidth="1"/>
    <col min="12812" max="12812" width="44.83203125" style="1824" customWidth="1"/>
    <col min="12813" max="12813" width="45" style="1824" customWidth="1"/>
    <col min="12814" max="12815" width="47.33203125" style="1824" customWidth="1"/>
    <col min="12816" max="12816" width="47.1640625" style="1824" customWidth="1"/>
    <col min="12817" max="12817" width="43.6640625" style="1824" customWidth="1"/>
    <col min="12818" max="12818" width="193.33203125" style="1824" customWidth="1"/>
    <col min="12819" max="12834" width="51" style="1824" customWidth="1"/>
    <col min="12835" max="12835" width="192.33203125" style="1824" customWidth="1"/>
    <col min="12836" max="12847" width="61" style="1824" customWidth="1"/>
    <col min="12848" max="12848" width="193.33203125" style="1824" customWidth="1"/>
    <col min="12849" max="12864" width="56" style="1824" customWidth="1"/>
    <col min="12865" max="12865" width="59" style="1824" customWidth="1"/>
    <col min="12866" max="12866" width="46" style="1824" customWidth="1"/>
    <col min="12867" max="13052" width="9.33203125" style="1824"/>
    <col min="13053" max="13053" width="193.33203125" style="1824" customWidth="1"/>
    <col min="13054" max="13054" width="47.1640625" style="1824" customWidth="1"/>
    <col min="13055" max="13055" width="47.33203125" style="1824" customWidth="1"/>
    <col min="13056" max="13056" width="47.1640625" style="1824" customWidth="1"/>
    <col min="13057" max="13057" width="43.6640625" style="1824" customWidth="1"/>
    <col min="13058" max="13059" width="47.33203125" style="1824" customWidth="1"/>
    <col min="13060" max="13060" width="47.1640625" style="1824" customWidth="1"/>
    <col min="13061" max="13061" width="43.6640625" style="1824" customWidth="1"/>
    <col min="13062" max="13063" width="47.33203125" style="1824" customWidth="1"/>
    <col min="13064" max="13064" width="47.1640625" style="1824" customWidth="1"/>
    <col min="13065" max="13065" width="43.6640625" style="1824" customWidth="1"/>
    <col min="13066" max="13067" width="45" style="1824" customWidth="1"/>
    <col min="13068" max="13068" width="44.83203125" style="1824" customWidth="1"/>
    <col min="13069" max="13069" width="45" style="1824" customWidth="1"/>
    <col min="13070" max="13071" width="47.33203125" style="1824" customWidth="1"/>
    <col min="13072" max="13072" width="47.1640625" style="1824" customWidth="1"/>
    <col min="13073" max="13073" width="43.6640625" style="1824" customWidth="1"/>
    <col min="13074" max="13074" width="193.33203125" style="1824" customWidth="1"/>
    <col min="13075" max="13090" width="51" style="1824" customWidth="1"/>
    <col min="13091" max="13091" width="192.33203125" style="1824" customWidth="1"/>
    <col min="13092" max="13103" width="61" style="1824" customWidth="1"/>
    <col min="13104" max="13104" width="193.33203125" style="1824" customWidth="1"/>
    <col min="13105" max="13120" width="56" style="1824" customWidth="1"/>
    <col min="13121" max="13121" width="59" style="1824" customWidth="1"/>
    <col min="13122" max="13122" width="46" style="1824" customWidth="1"/>
    <col min="13123" max="13308" width="9.33203125" style="1824"/>
    <col min="13309" max="13309" width="193.33203125" style="1824" customWidth="1"/>
    <col min="13310" max="13310" width="47.1640625" style="1824" customWidth="1"/>
    <col min="13311" max="13311" width="47.33203125" style="1824" customWidth="1"/>
    <col min="13312" max="13312" width="47.1640625" style="1824" customWidth="1"/>
    <col min="13313" max="13313" width="43.6640625" style="1824" customWidth="1"/>
    <col min="13314" max="13315" width="47.33203125" style="1824" customWidth="1"/>
    <col min="13316" max="13316" width="47.1640625" style="1824" customWidth="1"/>
    <col min="13317" max="13317" width="43.6640625" style="1824" customWidth="1"/>
    <col min="13318" max="13319" width="47.33203125" style="1824" customWidth="1"/>
    <col min="13320" max="13320" width="47.1640625" style="1824" customWidth="1"/>
    <col min="13321" max="13321" width="43.6640625" style="1824" customWidth="1"/>
    <col min="13322" max="13323" width="45" style="1824" customWidth="1"/>
    <col min="13324" max="13324" width="44.83203125" style="1824" customWidth="1"/>
    <col min="13325" max="13325" width="45" style="1824" customWidth="1"/>
    <col min="13326" max="13327" width="47.33203125" style="1824" customWidth="1"/>
    <col min="13328" max="13328" width="47.1640625" style="1824" customWidth="1"/>
    <col min="13329" max="13329" width="43.6640625" style="1824" customWidth="1"/>
    <col min="13330" max="13330" width="193.33203125" style="1824" customWidth="1"/>
    <col min="13331" max="13346" width="51" style="1824" customWidth="1"/>
    <col min="13347" max="13347" width="192.33203125" style="1824" customWidth="1"/>
    <col min="13348" max="13359" width="61" style="1824" customWidth="1"/>
    <col min="13360" max="13360" width="193.33203125" style="1824" customWidth="1"/>
    <col min="13361" max="13376" width="56" style="1824" customWidth="1"/>
    <col min="13377" max="13377" width="59" style="1824" customWidth="1"/>
    <col min="13378" max="13378" width="46" style="1824" customWidth="1"/>
    <col min="13379" max="13564" width="9.33203125" style="1824"/>
    <col min="13565" max="13565" width="193.33203125" style="1824" customWidth="1"/>
    <col min="13566" max="13566" width="47.1640625" style="1824" customWidth="1"/>
    <col min="13567" max="13567" width="47.33203125" style="1824" customWidth="1"/>
    <col min="13568" max="13568" width="47.1640625" style="1824" customWidth="1"/>
    <col min="13569" max="13569" width="43.6640625" style="1824" customWidth="1"/>
    <col min="13570" max="13571" width="47.33203125" style="1824" customWidth="1"/>
    <col min="13572" max="13572" width="47.1640625" style="1824" customWidth="1"/>
    <col min="13573" max="13573" width="43.6640625" style="1824" customWidth="1"/>
    <col min="13574" max="13575" width="47.33203125" style="1824" customWidth="1"/>
    <col min="13576" max="13576" width="47.1640625" style="1824" customWidth="1"/>
    <col min="13577" max="13577" width="43.6640625" style="1824" customWidth="1"/>
    <col min="13578" max="13579" width="45" style="1824" customWidth="1"/>
    <col min="13580" max="13580" width="44.83203125" style="1824" customWidth="1"/>
    <col min="13581" max="13581" width="45" style="1824" customWidth="1"/>
    <col min="13582" max="13583" width="47.33203125" style="1824" customWidth="1"/>
    <col min="13584" max="13584" width="47.1640625" style="1824" customWidth="1"/>
    <col min="13585" max="13585" width="43.6640625" style="1824" customWidth="1"/>
    <col min="13586" max="13586" width="193.33203125" style="1824" customWidth="1"/>
    <col min="13587" max="13602" width="51" style="1824" customWidth="1"/>
    <col min="13603" max="13603" width="192.33203125" style="1824" customWidth="1"/>
    <col min="13604" max="13615" width="61" style="1824" customWidth="1"/>
    <col min="13616" max="13616" width="193.33203125" style="1824" customWidth="1"/>
    <col min="13617" max="13632" width="56" style="1824" customWidth="1"/>
    <col min="13633" max="13633" width="59" style="1824" customWidth="1"/>
    <col min="13634" max="13634" width="46" style="1824" customWidth="1"/>
    <col min="13635" max="13820" width="9.33203125" style="1824"/>
    <col min="13821" max="13821" width="193.33203125" style="1824" customWidth="1"/>
    <col min="13822" max="13822" width="47.1640625" style="1824" customWidth="1"/>
    <col min="13823" max="13823" width="47.33203125" style="1824" customWidth="1"/>
    <col min="13824" max="13824" width="47.1640625" style="1824" customWidth="1"/>
    <col min="13825" max="13825" width="43.6640625" style="1824" customWidth="1"/>
    <col min="13826" max="13827" width="47.33203125" style="1824" customWidth="1"/>
    <col min="13828" max="13828" width="47.1640625" style="1824" customWidth="1"/>
    <col min="13829" max="13829" width="43.6640625" style="1824" customWidth="1"/>
    <col min="13830" max="13831" width="47.33203125" style="1824" customWidth="1"/>
    <col min="13832" max="13832" width="47.1640625" style="1824" customWidth="1"/>
    <col min="13833" max="13833" width="43.6640625" style="1824" customWidth="1"/>
    <col min="13834" max="13835" width="45" style="1824" customWidth="1"/>
    <col min="13836" max="13836" width="44.83203125" style="1824" customWidth="1"/>
    <col min="13837" max="13837" width="45" style="1824" customWidth="1"/>
    <col min="13838" max="13839" width="47.33203125" style="1824" customWidth="1"/>
    <col min="13840" max="13840" width="47.1640625" style="1824" customWidth="1"/>
    <col min="13841" max="13841" width="43.6640625" style="1824" customWidth="1"/>
    <col min="13842" max="13842" width="193.33203125" style="1824" customWidth="1"/>
    <col min="13843" max="13858" width="51" style="1824" customWidth="1"/>
    <col min="13859" max="13859" width="192.33203125" style="1824" customWidth="1"/>
    <col min="13860" max="13871" width="61" style="1824" customWidth="1"/>
    <col min="13872" max="13872" width="193.33203125" style="1824" customWidth="1"/>
    <col min="13873" max="13888" width="56" style="1824" customWidth="1"/>
    <col min="13889" max="13889" width="59" style="1824" customWidth="1"/>
    <col min="13890" max="13890" width="46" style="1824" customWidth="1"/>
    <col min="13891" max="14076" width="9.33203125" style="1824"/>
    <col min="14077" max="14077" width="193.33203125" style="1824" customWidth="1"/>
    <col min="14078" max="14078" width="47.1640625" style="1824" customWidth="1"/>
    <col min="14079" max="14079" width="47.33203125" style="1824" customWidth="1"/>
    <col min="14080" max="14080" width="47.1640625" style="1824" customWidth="1"/>
    <col min="14081" max="14081" width="43.6640625" style="1824" customWidth="1"/>
    <col min="14082" max="14083" width="47.33203125" style="1824" customWidth="1"/>
    <col min="14084" max="14084" width="47.1640625" style="1824" customWidth="1"/>
    <col min="14085" max="14085" width="43.6640625" style="1824" customWidth="1"/>
    <col min="14086" max="14087" width="47.33203125" style="1824" customWidth="1"/>
    <col min="14088" max="14088" width="47.1640625" style="1824" customWidth="1"/>
    <col min="14089" max="14089" width="43.6640625" style="1824" customWidth="1"/>
    <col min="14090" max="14091" width="45" style="1824" customWidth="1"/>
    <col min="14092" max="14092" width="44.83203125" style="1824" customWidth="1"/>
    <col min="14093" max="14093" width="45" style="1824" customWidth="1"/>
    <col min="14094" max="14095" width="47.33203125" style="1824" customWidth="1"/>
    <col min="14096" max="14096" width="47.1640625" style="1824" customWidth="1"/>
    <col min="14097" max="14097" width="43.6640625" style="1824" customWidth="1"/>
    <col min="14098" max="14098" width="193.33203125" style="1824" customWidth="1"/>
    <col min="14099" max="14114" width="51" style="1824" customWidth="1"/>
    <col min="14115" max="14115" width="192.33203125" style="1824" customWidth="1"/>
    <col min="14116" max="14127" width="61" style="1824" customWidth="1"/>
    <col min="14128" max="14128" width="193.33203125" style="1824" customWidth="1"/>
    <col min="14129" max="14144" width="56" style="1824" customWidth="1"/>
    <col min="14145" max="14145" width="59" style="1824" customWidth="1"/>
    <col min="14146" max="14146" width="46" style="1824" customWidth="1"/>
    <col min="14147" max="14332" width="9.33203125" style="1824"/>
    <col min="14333" max="14333" width="193.33203125" style="1824" customWidth="1"/>
    <col min="14334" max="14334" width="47.1640625" style="1824" customWidth="1"/>
    <col min="14335" max="14335" width="47.33203125" style="1824" customWidth="1"/>
    <col min="14336" max="14336" width="47.1640625" style="1824" customWidth="1"/>
    <col min="14337" max="14337" width="43.6640625" style="1824" customWidth="1"/>
    <col min="14338" max="14339" width="47.33203125" style="1824" customWidth="1"/>
    <col min="14340" max="14340" width="47.1640625" style="1824" customWidth="1"/>
    <col min="14341" max="14341" width="43.6640625" style="1824" customWidth="1"/>
    <col min="14342" max="14343" width="47.33203125" style="1824" customWidth="1"/>
    <col min="14344" max="14344" width="47.1640625" style="1824" customWidth="1"/>
    <col min="14345" max="14345" width="43.6640625" style="1824" customWidth="1"/>
    <col min="14346" max="14347" width="45" style="1824" customWidth="1"/>
    <col min="14348" max="14348" width="44.83203125" style="1824" customWidth="1"/>
    <col min="14349" max="14349" width="45" style="1824" customWidth="1"/>
    <col min="14350" max="14351" width="47.33203125" style="1824" customWidth="1"/>
    <col min="14352" max="14352" width="47.1640625" style="1824" customWidth="1"/>
    <col min="14353" max="14353" width="43.6640625" style="1824" customWidth="1"/>
    <col min="14354" max="14354" width="193.33203125" style="1824" customWidth="1"/>
    <col min="14355" max="14370" width="51" style="1824" customWidth="1"/>
    <col min="14371" max="14371" width="192.33203125" style="1824" customWidth="1"/>
    <col min="14372" max="14383" width="61" style="1824" customWidth="1"/>
    <col min="14384" max="14384" width="193.33203125" style="1824" customWidth="1"/>
    <col min="14385" max="14400" width="56" style="1824" customWidth="1"/>
    <col min="14401" max="14401" width="59" style="1824" customWidth="1"/>
    <col min="14402" max="14402" width="46" style="1824" customWidth="1"/>
    <col min="14403" max="14588" width="9.33203125" style="1824"/>
    <col min="14589" max="14589" width="193.33203125" style="1824" customWidth="1"/>
    <col min="14590" max="14590" width="47.1640625" style="1824" customWidth="1"/>
    <col min="14591" max="14591" width="47.33203125" style="1824" customWidth="1"/>
    <col min="14592" max="14592" width="47.1640625" style="1824" customWidth="1"/>
    <col min="14593" max="14593" width="43.6640625" style="1824" customWidth="1"/>
    <col min="14594" max="14595" width="47.33203125" style="1824" customWidth="1"/>
    <col min="14596" max="14596" width="47.1640625" style="1824" customWidth="1"/>
    <col min="14597" max="14597" width="43.6640625" style="1824" customWidth="1"/>
    <col min="14598" max="14599" width="47.33203125" style="1824" customWidth="1"/>
    <col min="14600" max="14600" width="47.1640625" style="1824" customWidth="1"/>
    <col min="14601" max="14601" width="43.6640625" style="1824" customWidth="1"/>
    <col min="14602" max="14603" width="45" style="1824" customWidth="1"/>
    <col min="14604" max="14604" width="44.83203125" style="1824" customWidth="1"/>
    <col min="14605" max="14605" width="45" style="1824" customWidth="1"/>
    <col min="14606" max="14607" width="47.33203125" style="1824" customWidth="1"/>
    <col min="14608" max="14608" width="47.1640625" style="1824" customWidth="1"/>
    <col min="14609" max="14609" width="43.6640625" style="1824" customWidth="1"/>
    <col min="14610" max="14610" width="193.33203125" style="1824" customWidth="1"/>
    <col min="14611" max="14626" width="51" style="1824" customWidth="1"/>
    <col min="14627" max="14627" width="192.33203125" style="1824" customWidth="1"/>
    <col min="14628" max="14639" width="61" style="1824" customWidth="1"/>
    <col min="14640" max="14640" width="193.33203125" style="1824" customWidth="1"/>
    <col min="14641" max="14656" width="56" style="1824" customWidth="1"/>
    <col min="14657" max="14657" width="59" style="1824" customWidth="1"/>
    <col min="14658" max="14658" width="46" style="1824" customWidth="1"/>
    <col min="14659" max="14844" width="9.33203125" style="1824"/>
    <col min="14845" max="14845" width="193.33203125" style="1824" customWidth="1"/>
    <col min="14846" max="14846" width="47.1640625" style="1824" customWidth="1"/>
    <col min="14847" max="14847" width="47.33203125" style="1824" customWidth="1"/>
    <col min="14848" max="14848" width="47.1640625" style="1824" customWidth="1"/>
    <col min="14849" max="14849" width="43.6640625" style="1824" customWidth="1"/>
    <col min="14850" max="14851" width="47.33203125" style="1824" customWidth="1"/>
    <col min="14852" max="14852" width="47.1640625" style="1824" customWidth="1"/>
    <col min="14853" max="14853" width="43.6640625" style="1824" customWidth="1"/>
    <col min="14854" max="14855" width="47.33203125" style="1824" customWidth="1"/>
    <col min="14856" max="14856" width="47.1640625" style="1824" customWidth="1"/>
    <col min="14857" max="14857" width="43.6640625" style="1824" customWidth="1"/>
    <col min="14858" max="14859" width="45" style="1824" customWidth="1"/>
    <col min="14860" max="14860" width="44.83203125" style="1824" customWidth="1"/>
    <col min="14861" max="14861" width="45" style="1824" customWidth="1"/>
    <col min="14862" max="14863" width="47.33203125" style="1824" customWidth="1"/>
    <col min="14864" max="14864" width="47.1640625" style="1824" customWidth="1"/>
    <col min="14865" max="14865" width="43.6640625" style="1824" customWidth="1"/>
    <col min="14866" max="14866" width="193.33203125" style="1824" customWidth="1"/>
    <col min="14867" max="14882" width="51" style="1824" customWidth="1"/>
    <col min="14883" max="14883" width="192.33203125" style="1824" customWidth="1"/>
    <col min="14884" max="14895" width="61" style="1824" customWidth="1"/>
    <col min="14896" max="14896" width="193.33203125" style="1824" customWidth="1"/>
    <col min="14897" max="14912" width="56" style="1824" customWidth="1"/>
    <col min="14913" max="14913" width="59" style="1824" customWidth="1"/>
    <col min="14914" max="14914" width="46" style="1824" customWidth="1"/>
    <col min="14915" max="15100" width="9.33203125" style="1824"/>
    <col min="15101" max="15101" width="193.33203125" style="1824" customWidth="1"/>
    <col min="15102" max="15102" width="47.1640625" style="1824" customWidth="1"/>
    <col min="15103" max="15103" width="47.33203125" style="1824" customWidth="1"/>
    <col min="15104" max="15104" width="47.1640625" style="1824" customWidth="1"/>
    <col min="15105" max="15105" width="43.6640625" style="1824" customWidth="1"/>
    <col min="15106" max="15107" width="47.33203125" style="1824" customWidth="1"/>
    <col min="15108" max="15108" width="47.1640625" style="1824" customWidth="1"/>
    <col min="15109" max="15109" width="43.6640625" style="1824" customWidth="1"/>
    <col min="15110" max="15111" width="47.33203125" style="1824" customWidth="1"/>
    <col min="15112" max="15112" width="47.1640625" style="1824" customWidth="1"/>
    <col min="15113" max="15113" width="43.6640625" style="1824" customWidth="1"/>
    <col min="15114" max="15115" width="45" style="1824" customWidth="1"/>
    <col min="15116" max="15116" width="44.83203125" style="1824" customWidth="1"/>
    <col min="15117" max="15117" width="45" style="1824" customWidth="1"/>
    <col min="15118" max="15119" width="47.33203125" style="1824" customWidth="1"/>
    <col min="15120" max="15120" width="47.1640625" style="1824" customWidth="1"/>
    <col min="15121" max="15121" width="43.6640625" style="1824" customWidth="1"/>
    <col min="15122" max="15122" width="193.33203125" style="1824" customWidth="1"/>
    <col min="15123" max="15138" width="51" style="1824" customWidth="1"/>
    <col min="15139" max="15139" width="192.33203125" style="1824" customWidth="1"/>
    <col min="15140" max="15151" width="61" style="1824" customWidth="1"/>
    <col min="15152" max="15152" width="193.33203125" style="1824" customWidth="1"/>
    <col min="15153" max="15168" width="56" style="1824" customWidth="1"/>
    <col min="15169" max="15169" width="59" style="1824" customWidth="1"/>
    <col min="15170" max="15170" width="46" style="1824" customWidth="1"/>
    <col min="15171" max="15356" width="9.33203125" style="1824"/>
    <col min="15357" max="15357" width="193.33203125" style="1824" customWidth="1"/>
    <col min="15358" max="15358" width="47.1640625" style="1824" customWidth="1"/>
    <col min="15359" max="15359" width="47.33203125" style="1824" customWidth="1"/>
    <col min="15360" max="15360" width="47.1640625" style="1824" customWidth="1"/>
    <col min="15361" max="15361" width="43.6640625" style="1824" customWidth="1"/>
    <col min="15362" max="15363" width="47.33203125" style="1824" customWidth="1"/>
    <col min="15364" max="15364" width="47.1640625" style="1824" customWidth="1"/>
    <col min="15365" max="15365" width="43.6640625" style="1824" customWidth="1"/>
    <col min="15366" max="15367" width="47.33203125" style="1824" customWidth="1"/>
    <col min="15368" max="15368" width="47.1640625" style="1824" customWidth="1"/>
    <col min="15369" max="15369" width="43.6640625" style="1824" customWidth="1"/>
    <col min="15370" max="15371" width="45" style="1824" customWidth="1"/>
    <col min="15372" max="15372" width="44.83203125" style="1824" customWidth="1"/>
    <col min="15373" max="15373" width="45" style="1824" customWidth="1"/>
    <col min="15374" max="15375" width="47.33203125" style="1824" customWidth="1"/>
    <col min="15376" max="15376" width="47.1640625" style="1824" customWidth="1"/>
    <col min="15377" max="15377" width="43.6640625" style="1824" customWidth="1"/>
    <col min="15378" max="15378" width="193.33203125" style="1824" customWidth="1"/>
    <col min="15379" max="15394" width="51" style="1824" customWidth="1"/>
    <col min="15395" max="15395" width="192.33203125" style="1824" customWidth="1"/>
    <col min="15396" max="15407" width="61" style="1824" customWidth="1"/>
    <col min="15408" max="15408" width="193.33203125" style="1824" customWidth="1"/>
    <col min="15409" max="15424" width="56" style="1824" customWidth="1"/>
    <col min="15425" max="15425" width="59" style="1824" customWidth="1"/>
    <col min="15426" max="15426" width="46" style="1824" customWidth="1"/>
    <col min="15427" max="15612" width="9.33203125" style="1824"/>
    <col min="15613" max="15613" width="193.33203125" style="1824" customWidth="1"/>
    <col min="15614" max="15614" width="47.1640625" style="1824" customWidth="1"/>
    <col min="15615" max="15615" width="47.33203125" style="1824" customWidth="1"/>
    <col min="15616" max="15616" width="47.1640625" style="1824" customWidth="1"/>
    <col min="15617" max="15617" width="43.6640625" style="1824" customWidth="1"/>
    <col min="15618" max="15619" width="47.33203125" style="1824" customWidth="1"/>
    <col min="15620" max="15620" width="47.1640625" style="1824" customWidth="1"/>
    <col min="15621" max="15621" width="43.6640625" style="1824" customWidth="1"/>
    <col min="15622" max="15623" width="47.33203125" style="1824" customWidth="1"/>
    <col min="15624" max="15624" width="47.1640625" style="1824" customWidth="1"/>
    <col min="15625" max="15625" width="43.6640625" style="1824" customWidth="1"/>
    <col min="15626" max="15627" width="45" style="1824" customWidth="1"/>
    <col min="15628" max="15628" width="44.83203125" style="1824" customWidth="1"/>
    <col min="15629" max="15629" width="45" style="1824" customWidth="1"/>
    <col min="15630" max="15631" width="47.33203125" style="1824" customWidth="1"/>
    <col min="15632" max="15632" width="47.1640625" style="1824" customWidth="1"/>
    <col min="15633" max="15633" width="43.6640625" style="1824" customWidth="1"/>
    <col min="15634" max="15634" width="193.33203125" style="1824" customWidth="1"/>
    <col min="15635" max="15650" width="51" style="1824" customWidth="1"/>
    <col min="15651" max="15651" width="192.33203125" style="1824" customWidth="1"/>
    <col min="15652" max="15663" width="61" style="1824" customWidth="1"/>
    <col min="15664" max="15664" width="193.33203125" style="1824" customWidth="1"/>
    <col min="15665" max="15680" width="56" style="1824" customWidth="1"/>
    <col min="15681" max="15681" width="59" style="1824" customWidth="1"/>
    <col min="15682" max="15682" width="46" style="1824" customWidth="1"/>
    <col min="15683" max="15868" width="9.33203125" style="1824"/>
    <col min="15869" max="15869" width="193.33203125" style="1824" customWidth="1"/>
    <col min="15870" max="15870" width="47.1640625" style="1824" customWidth="1"/>
    <col min="15871" max="15871" width="47.33203125" style="1824" customWidth="1"/>
    <col min="15872" max="15872" width="47.1640625" style="1824" customWidth="1"/>
    <col min="15873" max="15873" width="43.6640625" style="1824" customWidth="1"/>
    <col min="15874" max="15875" width="47.33203125" style="1824" customWidth="1"/>
    <col min="15876" max="15876" width="47.1640625" style="1824" customWidth="1"/>
    <col min="15877" max="15877" width="43.6640625" style="1824" customWidth="1"/>
    <col min="15878" max="15879" width="47.33203125" style="1824" customWidth="1"/>
    <col min="15880" max="15880" width="47.1640625" style="1824" customWidth="1"/>
    <col min="15881" max="15881" width="43.6640625" style="1824" customWidth="1"/>
    <col min="15882" max="15883" width="45" style="1824" customWidth="1"/>
    <col min="15884" max="15884" width="44.83203125" style="1824" customWidth="1"/>
    <col min="15885" max="15885" width="45" style="1824" customWidth="1"/>
    <col min="15886" max="15887" width="47.33203125" style="1824" customWidth="1"/>
    <col min="15888" max="15888" width="47.1640625" style="1824" customWidth="1"/>
    <col min="15889" max="15889" width="43.6640625" style="1824" customWidth="1"/>
    <col min="15890" max="15890" width="193.33203125" style="1824" customWidth="1"/>
    <col min="15891" max="15906" width="51" style="1824" customWidth="1"/>
    <col min="15907" max="15907" width="192.33203125" style="1824" customWidth="1"/>
    <col min="15908" max="15919" width="61" style="1824" customWidth="1"/>
    <col min="15920" max="15920" width="193.33203125" style="1824" customWidth="1"/>
    <col min="15921" max="15936" width="56" style="1824" customWidth="1"/>
    <col min="15937" max="15937" width="59" style="1824" customWidth="1"/>
    <col min="15938" max="15938" width="46" style="1824" customWidth="1"/>
    <col min="15939" max="16124" width="9.33203125" style="1824"/>
    <col min="16125" max="16125" width="193.33203125" style="1824" customWidth="1"/>
    <col min="16126" max="16126" width="47.1640625" style="1824" customWidth="1"/>
    <col min="16127" max="16127" width="47.33203125" style="1824" customWidth="1"/>
    <col min="16128" max="16128" width="47.1640625" style="1824" customWidth="1"/>
    <col min="16129" max="16129" width="43.6640625" style="1824" customWidth="1"/>
    <col min="16130" max="16131" width="47.33203125" style="1824" customWidth="1"/>
    <col min="16132" max="16132" width="47.1640625" style="1824" customWidth="1"/>
    <col min="16133" max="16133" width="43.6640625" style="1824" customWidth="1"/>
    <col min="16134" max="16135" width="47.33203125" style="1824" customWidth="1"/>
    <col min="16136" max="16136" width="47.1640625" style="1824" customWidth="1"/>
    <col min="16137" max="16137" width="43.6640625" style="1824" customWidth="1"/>
    <col min="16138" max="16139" width="45" style="1824" customWidth="1"/>
    <col min="16140" max="16140" width="44.83203125" style="1824" customWidth="1"/>
    <col min="16141" max="16141" width="45" style="1824" customWidth="1"/>
    <col min="16142" max="16143" width="47.33203125" style="1824" customWidth="1"/>
    <col min="16144" max="16144" width="47.1640625" style="1824" customWidth="1"/>
    <col min="16145" max="16145" width="43.6640625" style="1824" customWidth="1"/>
    <col min="16146" max="16146" width="193.33203125" style="1824" customWidth="1"/>
    <col min="16147" max="16162" width="51" style="1824" customWidth="1"/>
    <col min="16163" max="16163" width="192.33203125" style="1824" customWidth="1"/>
    <col min="16164" max="16175" width="61" style="1824" customWidth="1"/>
    <col min="16176" max="16176" width="193.33203125" style="1824" customWidth="1"/>
    <col min="16177" max="16192" width="56" style="1824" customWidth="1"/>
    <col min="16193" max="16193" width="59" style="1824" customWidth="1"/>
    <col min="16194" max="16194" width="46" style="1824" customWidth="1"/>
    <col min="16195" max="16384" width="9.33203125" style="1824"/>
  </cols>
  <sheetData>
    <row r="1" spans="1:72" ht="51.75" customHeight="1" x14ac:dyDescent="0.6"/>
    <row r="2" spans="1:72" ht="36.75" customHeight="1" x14ac:dyDescent="0.6"/>
    <row r="3" spans="1:72" s="1825" customFormat="1" ht="54" customHeight="1" x14ac:dyDescent="0.75">
      <c r="A3" s="2634" t="s">
        <v>664</v>
      </c>
      <c r="B3" s="2634"/>
      <c r="C3" s="2634"/>
      <c r="D3" s="2634"/>
      <c r="E3" s="2634"/>
      <c r="F3" s="2634"/>
      <c r="G3" s="2634"/>
      <c r="H3" s="2634"/>
      <c r="I3" s="2634"/>
      <c r="J3" s="2634"/>
      <c r="K3" s="2634"/>
      <c r="L3" s="2634"/>
      <c r="M3" s="2634"/>
      <c r="N3" s="2634"/>
      <c r="O3" s="2634"/>
      <c r="P3" s="2634"/>
      <c r="Q3" s="2634"/>
      <c r="R3" s="2634"/>
      <c r="S3" s="2634"/>
      <c r="T3" s="2634"/>
      <c r="U3" s="2634"/>
      <c r="V3" s="2633" t="s">
        <v>664</v>
      </c>
      <c r="W3" s="2633"/>
      <c r="X3" s="2633"/>
      <c r="Y3" s="2633"/>
      <c r="Z3" s="2633"/>
      <c r="AA3" s="2633"/>
      <c r="AB3" s="2633"/>
      <c r="AC3" s="2633"/>
      <c r="AD3" s="2633"/>
      <c r="AE3" s="2633"/>
      <c r="AF3" s="2633"/>
      <c r="AG3" s="2633"/>
      <c r="AH3" s="2633"/>
      <c r="AI3" s="2633"/>
      <c r="AJ3" s="2633"/>
      <c r="AK3" s="2633"/>
      <c r="AL3" s="2633"/>
      <c r="AM3" s="2633" t="s">
        <v>664</v>
      </c>
      <c r="AN3" s="2633"/>
      <c r="AO3" s="2633"/>
      <c r="AP3" s="2633"/>
      <c r="AQ3" s="2633"/>
      <c r="AR3" s="2633"/>
      <c r="AS3" s="2633"/>
      <c r="AT3" s="2633"/>
      <c r="AU3" s="2633"/>
      <c r="AV3" s="2633" t="s">
        <v>664</v>
      </c>
      <c r="AW3" s="2633"/>
      <c r="AX3" s="2633"/>
      <c r="AY3" s="2633"/>
      <c r="AZ3" s="2633"/>
      <c r="BA3" s="2633"/>
      <c r="BB3" s="2633"/>
      <c r="BC3" s="2633"/>
      <c r="BD3" s="2633"/>
      <c r="BE3" s="2633"/>
      <c r="BF3" s="2633"/>
      <c r="BG3" s="2633"/>
      <c r="BH3" s="2633"/>
      <c r="BI3" s="2633"/>
      <c r="BJ3" s="2633"/>
      <c r="BK3" s="2633"/>
      <c r="BL3" s="2633"/>
      <c r="BM3" s="2633"/>
      <c r="BN3" s="2633"/>
      <c r="BO3" s="2633"/>
      <c r="BP3" s="2633"/>
      <c r="BQ3" s="2633"/>
      <c r="BR3" s="2633"/>
      <c r="BS3" s="2633"/>
      <c r="BT3" s="2633"/>
    </row>
    <row r="4" spans="1:72" s="1825" customFormat="1" ht="52.5" customHeight="1" x14ac:dyDescent="0.75">
      <c r="A4" s="2634" t="s">
        <v>1313</v>
      </c>
      <c r="B4" s="2634"/>
      <c r="C4" s="2634"/>
      <c r="D4" s="2634"/>
      <c r="E4" s="2634"/>
      <c r="F4" s="2634"/>
      <c r="G4" s="2634"/>
      <c r="H4" s="2634"/>
      <c r="I4" s="2634"/>
      <c r="J4" s="2634"/>
      <c r="K4" s="2634"/>
      <c r="L4" s="2634"/>
      <c r="M4" s="2634"/>
      <c r="N4" s="2634"/>
      <c r="O4" s="2634"/>
      <c r="P4" s="2634"/>
      <c r="Q4" s="2634"/>
      <c r="R4" s="2634"/>
      <c r="S4" s="2634"/>
      <c r="T4" s="2634"/>
      <c r="U4" s="2634"/>
      <c r="V4" s="2635" t="s">
        <v>1313</v>
      </c>
      <c r="W4" s="2635"/>
      <c r="X4" s="2635"/>
      <c r="Y4" s="2635"/>
      <c r="Z4" s="2635"/>
      <c r="AA4" s="2635"/>
      <c r="AB4" s="2635"/>
      <c r="AC4" s="2635"/>
      <c r="AD4" s="2635"/>
      <c r="AE4" s="2635"/>
      <c r="AF4" s="2635"/>
      <c r="AG4" s="2635"/>
      <c r="AH4" s="2635"/>
      <c r="AI4" s="2635"/>
      <c r="AJ4" s="2635"/>
      <c r="AK4" s="2635"/>
      <c r="AL4" s="2635"/>
      <c r="AM4" s="2633" t="s">
        <v>1313</v>
      </c>
      <c r="AN4" s="2633"/>
      <c r="AO4" s="2633"/>
      <c r="AP4" s="2633"/>
      <c r="AQ4" s="2633"/>
      <c r="AR4" s="2633"/>
      <c r="AS4" s="2633"/>
      <c r="AT4" s="2633"/>
      <c r="AU4" s="2633"/>
      <c r="AV4" s="2633" t="s">
        <v>1313</v>
      </c>
      <c r="AW4" s="2633"/>
      <c r="AX4" s="2633"/>
      <c r="AY4" s="2633"/>
      <c r="AZ4" s="2633"/>
      <c r="BA4" s="2633"/>
      <c r="BB4" s="2633"/>
      <c r="BC4" s="2633"/>
      <c r="BD4" s="2633"/>
      <c r="BE4" s="2633"/>
      <c r="BF4" s="2633"/>
      <c r="BG4" s="2633"/>
      <c r="BH4" s="2633"/>
      <c r="BI4" s="2633"/>
      <c r="BJ4" s="2633"/>
      <c r="BK4" s="2633"/>
      <c r="BL4" s="2633"/>
      <c r="BM4" s="2633"/>
      <c r="BN4" s="2633"/>
      <c r="BO4" s="2633"/>
      <c r="BP4" s="2633"/>
      <c r="BQ4" s="2633"/>
      <c r="BR4" s="2633"/>
      <c r="BS4" s="2633"/>
      <c r="BT4" s="2633"/>
    </row>
    <row r="5" spans="1:72" ht="42.75" customHeight="1" thickBot="1" x14ac:dyDescent="0.65"/>
    <row r="6" spans="1:72" s="1827" customFormat="1" ht="56.25" customHeight="1" thickBot="1" x14ac:dyDescent="0.65">
      <c r="A6" s="1826"/>
      <c r="B6" s="2618" t="s">
        <v>1314</v>
      </c>
      <c r="C6" s="2619"/>
      <c r="D6" s="2619"/>
      <c r="E6" s="2620"/>
      <c r="F6" s="2627" t="s">
        <v>1241</v>
      </c>
      <c r="G6" s="2628"/>
      <c r="H6" s="2628"/>
      <c r="I6" s="2629"/>
      <c r="J6" s="2618" t="s">
        <v>1315</v>
      </c>
      <c r="K6" s="2619"/>
      <c r="L6" s="2619"/>
      <c r="M6" s="2620"/>
      <c r="N6" s="2618" t="s">
        <v>169</v>
      </c>
      <c r="O6" s="2619"/>
      <c r="P6" s="2619"/>
      <c r="Q6" s="2620"/>
      <c r="R6" s="2627" t="s">
        <v>1255</v>
      </c>
      <c r="S6" s="2628"/>
      <c r="T6" s="2628"/>
      <c r="U6" s="2629"/>
      <c r="V6" s="1826"/>
      <c r="W6" s="2618" t="s">
        <v>373</v>
      </c>
      <c r="X6" s="2619"/>
      <c r="Y6" s="2619"/>
      <c r="Z6" s="2620"/>
      <c r="AA6" s="2627" t="s">
        <v>367</v>
      </c>
      <c r="AB6" s="2628"/>
      <c r="AC6" s="2628"/>
      <c r="AD6" s="2629"/>
      <c r="AE6" s="2618" t="s">
        <v>1260</v>
      </c>
      <c r="AF6" s="2619"/>
      <c r="AG6" s="2619"/>
      <c r="AH6" s="2620"/>
      <c r="AI6" s="2627" t="s">
        <v>1263</v>
      </c>
      <c r="AJ6" s="2628"/>
      <c r="AK6" s="2628"/>
      <c r="AL6" s="2629"/>
      <c r="AM6" s="1826"/>
      <c r="AN6" s="2627" t="s">
        <v>1931</v>
      </c>
      <c r="AO6" s="2628"/>
      <c r="AP6" s="2628"/>
      <c r="AQ6" s="2629"/>
      <c r="AR6" s="2627" t="s">
        <v>1316</v>
      </c>
      <c r="AS6" s="2628"/>
      <c r="AT6" s="2628"/>
      <c r="AU6" s="2629"/>
      <c r="AV6" s="1826"/>
      <c r="AW6" s="2624" t="s">
        <v>1317</v>
      </c>
      <c r="AX6" s="2625"/>
      <c r="AY6" s="2625"/>
      <c r="AZ6" s="2625"/>
      <c r="BA6" s="2625"/>
      <c r="BB6" s="2625"/>
      <c r="BC6" s="2625"/>
      <c r="BD6" s="2626"/>
      <c r="BE6" s="2627" t="s">
        <v>1318</v>
      </c>
      <c r="BF6" s="2628"/>
      <c r="BG6" s="2628"/>
      <c r="BH6" s="2629"/>
      <c r="BI6" s="2618" t="s">
        <v>1319</v>
      </c>
      <c r="BJ6" s="2619"/>
      <c r="BK6" s="2619"/>
      <c r="BL6" s="2620"/>
    </row>
    <row r="7" spans="1:72" s="1830" customFormat="1" ht="56.25" customHeight="1" thickBot="1" x14ac:dyDescent="0.65">
      <c r="A7" s="1828" t="s">
        <v>1088</v>
      </c>
      <c r="B7" s="2621"/>
      <c r="C7" s="2622"/>
      <c r="D7" s="2622"/>
      <c r="E7" s="2623"/>
      <c r="F7" s="2630"/>
      <c r="G7" s="2631"/>
      <c r="H7" s="2631"/>
      <c r="I7" s="2632"/>
      <c r="J7" s="2621"/>
      <c r="K7" s="2622"/>
      <c r="L7" s="2622"/>
      <c r="M7" s="2623"/>
      <c r="N7" s="2621"/>
      <c r="O7" s="2622"/>
      <c r="P7" s="2622"/>
      <c r="Q7" s="2623"/>
      <c r="R7" s="2630"/>
      <c r="S7" s="2631"/>
      <c r="T7" s="2631"/>
      <c r="U7" s="2632"/>
      <c r="V7" s="1828" t="s">
        <v>1088</v>
      </c>
      <c r="W7" s="2621"/>
      <c r="X7" s="2622"/>
      <c r="Y7" s="2622"/>
      <c r="Z7" s="2623"/>
      <c r="AA7" s="2630"/>
      <c r="AB7" s="2631"/>
      <c r="AC7" s="2631"/>
      <c r="AD7" s="2632"/>
      <c r="AE7" s="2621"/>
      <c r="AF7" s="2622"/>
      <c r="AG7" s="2622"/>
      <c r="AH7" s="2623"/>
      <c r="AI7" s="2630"/>
      <c r="AJ7" s="2631"/>
      <c r="AK7" s="2631"/>
      <c r="AL7" s="2632"/>
      <c r="AM7" s="1828" t="s">
        <v>1088</v>
      </c>
      <c r="AN7" s="2630" t="s">
        <v>1320</v>
      </c>
      <c r="AO7" s="2631"/>
      <c r="AP7" s="2631"/>
      <c r="AQ7" s="2632"/>
      <c r="AR7" s="2630"/>
      <c r="AS7" s="2631"/>
      <c r="AT7" s="2631"/>
      <c r="AU7" s="2632"/>
      <c r="AV7" s="1828" t="s">
        <v>1088</v>
      </c>
      <c r="AW7" s="2624" t="s">
        <v>1321</v>
      </c>
      <c r="AX7" s="2625"/>
      <c r="AY7" s="2625"/>
      <c r="AZ7" s="2626"/>
      <c r="BA7" s="2624" t="s">
        <v>1322</v>
      </c>
      <c r="BB7" s="2625"/>
      <c r="BC7" s="2625"/>
      <c r="BD7" s="2626"/>
      <c r="BE7" s="2630"/>
      <c r="BF7" s="2631"/>
      <c r="BG7" s="2631"/>
      <c r="BH7" s="2632"/>
      <c r="BI7" s="2621"/>
      <c r="BJ7" s="2622"/>
      <c r="BK7" s="2622"/>
      <c r="BL7" s="2623"/>
      <c r="BM7" s="1829"/>
    </row>
    <row r="8" spans="1:72" s="1827" customFormat="1" ht="171.75" customHeight="1" thickBot="1" x14ac:dyDescent="0.65">
      <c r="A8" s="1831">
        <v>2016</v>
      </c>
      <c r="B8" s="1832" t="s">
        <v>1323</v>
      </c>
      <c r="C8" s="1832" t="s">
        <v>1324</v>
      </c>
      <c r="D8" s="1832" t="s">
        <v>206</v>
      </c>
      <c r="E8" s="1832" t="s">
        <v>1325</v>
      </c>
      <c r="F8" s="1832" t="s">
        <v>1323</v>
      </c>
      <c r="G8" s="1832" t="s">
        <v>1326</v>
      </c>
      <c r="H8" s="1832" t="s">
        <v>206</v>
      </c>
      <c r="I8" s="1832" t="s">
        <v>1325</v>
      </c>
      <c r="J8" s="1832" t="s">
        <v>1323</v>
      </c>
      <c r="K8" s="1832" t="s">
        <v>1327</v>
      </c>
      <c r="L8" s="1832" t="s">
        <v>206</v>
      </c>
      <c r="M8" s="1832" t="s">
        <v>1325</v>
      </c>
      <c r="N8" s="1832" t="s">
        <v>1323</v>
      </c>
      <c r="O8" s="1832" t="s">
        <v>1328</v>
      </c>
      <c r="P8" s="1832" t="s">
        <v>206</v>
      </c>
      <c r="Q8" s="1832" t="s">
        <v>1325</v>
      </c>
      <c r="R8" s="1832" t="s">
        <v>1323</v>
      </c>
      <c r="S8" s="1832" t="s">
        <v>1328</v>
      </c>
      <c r="T8" s="1832" t="s">
        <v>206</v>
      </c>
      <c r="U8" s="1832" t="s">
        <v>1325</v>
      </c>
      <c r="V8" s="1831">
        <v>2016</v>
      </c>
      <c r="W8" s="1832" t="s">
        <v>1323</v>
      </c>
      <c r="X8" s="1832" t="s">
        <v>1329</v>
      </c>
      <c r="Y8" s="1832" t="s">
        <v>206</v>
      </c>
      <c r="Z8" s="1832" t="s">
        <v>1325</v>
      </c>
      <c r="AA8" s="1832" t="s">
        <v>1323</v>
      </c>
      <c r="AB8" s="1832" t="s">
        <v>1330</v>
      </c>
      <c r="AC8" s="1832" t="s">
        <v>206</v>
      </c>
      <c r="AD8" s="1832" t="s">
        <v>1325</v>
      </c>
      <c r="AE8" s="1832" t="s">
        <v>1323</v>
      </c>
      <c r="AF8" s="1832" t="s">
        <v>1328</v>
      </c>
      <c r="AG8" s="1832" t="s">
        <v>206</v>
      </c>
      <c r="AH8" s="1832" t="s">
        <v>1325</v>
      </c>
      <c r="AI8" s="1832" t="s">
        <v>1323</v>
      </c>
      <c r="AJ8" s="1832" t="s">
        <v>1328</v>
      </c>
      <c r="AK8" s="1832" t="s">
        <v>206</v>
      </c>
      <c r="AL8" s="1832" t="s">
        <v>1325</v>
      </c>
      <c r="AM8" s="1831">
        <v>2016</v>
      </c>
      <c r="AN8" s="1832" t="s">
        <v>1323</v>
      </c>
      <c r="AO8" s="1832" t="s">
        <v>1331</v>
      </c>
      <c r="AP8" s="1832" t="s">
        <v>206</v>
      </c>
      <c r="AQ8" s="1832" t="s">
        <v>1325</v>
      </c>
      <c r="AR8" s="1832" t="s">
        <v>1323</v>
      </c>
      <c r="AS8" s="1832" t="s">
        <v>1332</v>
      </c>
      <c r="AT8" s="1832" t="s">
        <v>206</v>
      </c>
      <c r="AU8" s="1832" t="s">
        <v>1325</v>
      </c>
      <c r="AV8" s="1831">
        <v>2016</v>
      </c>
      <c r="AW8" s="1832" t="s">
        <v>1323</v>
      </c>
      <c r="AX8" s="1832" t="s">
        <v>1328</v>
      </c>
      <c r="AY8" s="1832" t="s">
        <v>206</v>
      </c>
      <c r="AZ8" s="1832" t="s">
        <v>1325</v>
      </c>
      <c r="BA8" s="1832" t="s">
        <v>1323</v>
      </c>
      <c r="BB8" s="1832" t="s">
        <v>1328</v>
      </c>
      <c r="BC8" s="1832" t="s">
        <v>206</v>
      </c>
      <c r="BD8" s="1832" t="s">
        <v>1325</v>
      </c>
      <c r="BE8" s="1832" t="s">
        <v>1323</v>
      </c>
      <c r="BF8" s="1832" t="s">
        <v>1328</v>
      </c>
      <c r="BG8" s="1832" t="s">
        <v>206</v>
      </c>
      <c r="BH8" s="1832" t="s">
        <v>1325</v>
      </c>
      <c r="BI8" s="1832" t="s">
        <v>1323</v>
      </c>
      <c r="BJ8" s="1832" t="s">
        <v>1328</v>
      </c>
      <c r="BK8" s="1832" t="s">
        <v>206</v>
      </c>
      <c r="BL8" s="1832" t="s">
        <v>1325</v>
      </c>
      <c r="BM8" s="1827" t="s">
        <v>1333</v>
      </c>
      <c r="BN8" s="1827" t="s">
        <v>204</v>
      </c>
    </row>
    <row r="9" spans="1:72" s="1836" customFormat="1" ht="57" customHeight="1" x14ac:dyDescent="0.6">
      <c r="A9" s="1833" t="s">
        <v>1091</v>
      </c>
      <c r="B9" s="1834"/>
      <c r="C9" s="1834"/>
      <c r="D9" s="1834"/>
      <c r="E9" s="1834"/>
      <c r="F9" s="1834"/>
      <c r="G9" s="1834"/>
      <c r="H9" s="1834"/>
      <c r="I9" s="1834"/>
      <c r="J9" s="1834"/>
      <c r="K9" s="1834"/>
      <c r="L9" s="1834"/>
      <c r="M9" s="1834"/>
      <c r="N9" s="1834"/>
      <c r="O9" s="1834"/>
      <c r="P9" s="1834"/>
      <c r="Q9" s="1834"/>
      <c r="R9" s="1834"/>
      <c r="S9" s="1834"/>
      <c r="T9" s="1834"/>
      <c r="U9" s="1834"/>
      <c r="V9" s="1833" t="s">
        <v>1091</v>
      </c>
      <c r="W9" s="1834"/>
      <c r="X9" s="1834"/>
      <c r="Y9" s="1834"/>
      <c r="Z9" s="1834"/>
      <c r="AA9" s="1834"/>
      <c r="AB9" s="1834"/>
      <c r="AC9" s="1834"/>
      <c r="AD9" s="1834"/>
      <c r="AE9" s="1834"/>
      <c r="AF9" s="1834"/>
      <c r="AG9" s="1834"/>
      <c r="AH9" s="1834"/>
      <c r="AI9" s="1834"/>
      <c r="AJ9" s="1834"/>
      <c r="AK9" s="1834"/>
      <c r="AL9" s="1834"/>
      <c r="AM9" s="1833" t="s">
        <v>1091</v>
      </c>
      <c r="AN9" s="1833"/>
      <c r="AO9" s="1833"/>
      <c r="AP9" s="1833"/>
      <c r="AQ9" s="1833"/>
      <c r="AR9" s="1833"/>
      <c r="AS9" s="1833"/>
      <c r="AT9" s="1833"/>
      <c r="AU9" s="1833"/>
      <c r="AV9" s="1833" t="s">
        <v>1091</v>
      </c>
      <c r="AW9" s="1833"/>
      <c r="AX9" s="1833"/>
      <c r="AY9" s="1833"/>
      <c r="AZ9" s="1833"/>
      <c r="BA9" s="1833"/>
      <c r="BB9" s="1833"/>
      <c r="BC9" s="1833"/>
      <c r="BD9" s="1833"/>
      <c r="BE9" s="1833"/>
      <c r="BF9" s="1833"/>
      <c r="BG9" s="1835"/>
      <c r="BH9" s="1835"/>
      <c r="BI9" s="1835"/>
      <c r="BJ9" s="1835"/>
      <c r="BK9" s="1834"/>
      <c r="BL9" s="1834"/>
    </row>
    <row r="10" spans="1:72" ht="57" customHeight="1" x14ac:dyDescent="0.6">
      <c r="A10" s="1837" t="s">
        <v>1097</v>
      </c>
      <c r="B10" s="1838">
        <f>[4]int.bevételek2016!B9</f>
        <v>988</v>
      </c>
      <c r="C10" s="1838">
        <v>2915</v>
      </c>
      <c r="D10" s="1838">
        <f>2916-1</f>
        <v>2915</v>
      </c>
      <c r="E10" s="1839">
        <f t="shared" ref="E10:E30" si="0">D10/C10</f>
        <v>1</v>
      </c>
      <c r="F10" s="1838"/>
      <c r="G10" s="1838"/>
      <c r="H10" s="1838"/>
      <c r="I10" s="1839"/>
      <c r="J10" s="1838"/>
      <c r="K10" s="1838"/>
      <c r="L10" s="1838"/>
      <c r="M10" s="1839"/>
      <c r="N10" s="1838"/>
      <c r="O10" s="1838"/>
      <c r="P10" s="1838"/>
      <c r="Q10" s="1839"/>
      <c r="R10" s="1838">
        <f t="shared" ref="R10:T27" si="1">B10+F10+J10+N10</f>
        <v>988</v>
      </c>
      <c r="S10" s="1838">
        <f t="shared" si="1"/>
        <v>2915</v>
      </c>
      <c r="T10" s="1838">
        <f t="shared" si="1"/>
        <v>2915</v>
      </c>
      <c r="U10" s="1839">
        <f t="shared" ref="U10:U30" si="2">T10/S10</f>
        <v>1</v>
      </c>
      <c r="V10" s="1837" t="s">
        <v>1097</v>
      </c>
      <c r="W10" s="1838"/>
      <c r="X10" s="1838"/>
      <c r="Y10" s="1838"/>
      <c r="Z10" s="1839"/>
      <c r="AA10" s="1838"/>
      <c r="AB10" s="1838"/>
      <c r="AC10" s="1838"/>
      <c r="AD10" s="1839"/>
      <c r="AE10" s="1838"/>
      <c r="AF10" s="1838"/>
      <c r="AG10" s="1838"/>
      <c r="AH10" s="1839"/>
      <c r="AI10" s="1838">
        <f t="shared" ref="AI10:AK27" si="3">W10+AA10+AE10</f>
        <v>0</v>
      </c>
      <c r="AJ10" s="1838">
        <f t="shared" si="3"/>
        <v>0</v>
      </c>
      <c r="AK10" s="1838">
        <f t="shared" si="3"/>
        <v>0</v>
      </c>
      <c r="AL10" s="1839"/>
      <c r="AM10" s="1837" t="s">
        <v>1097</v>
      </c>
      <c r="AN10" s="1838"/>
      <c r="AO10" s="1838">
        <v>907</v>
      </c>
      <c r="AP10" s="1838">
        <v>907</v>
      </c>
      <c r="AQ10" s="1839">
        <f t="shared" ref="AQ10:AQ30" si="4">AP10/AO10</f>
        <v>1</v>
      </c>
      <c r="AR10" s="1838">
        <f>AN10</f>
        <v>0</v>
      </c>
      <c r="AS10" s="1838">
        <f>AO10</f>
        <v>907</v>
      </c>
      <c r="AT10" s="1838">
        <f>AP10</f>
        <v>907</v>
      </c>
      <c r="AU10" s="1839">
        <f t="shared" ref="AU10:AU51" si="5">AT10/AS10</f>
        <v>1</v>
      </c>
      <c r="AV10" s="1837" t="s">
        <v>1097</v>
      </c>
      <c r="AW10" s="1838">
        <f>[4]int.bevételek2016!L9</f>
        <v>133439</v>
      </c>
      <c r="AX10" s="1838">
        <f>'[5]int.bevételek RM V '!AT10</f>
        <v>135445</v>
      </c>
      <c r="AY10" s="1838">
        <v>129129</v>
      </c>
      <c r="AZ10" s="1839">
        <f t="shared" ref="AZ10:AZ30" si="6">AY10/AX10</f>
        <v>0.95336852596995092</v>
      </c>
      <c r="BA10" s="1838"/>
      <c r="BB10" s="1838">
        <f>'[5]int.bevételek RM V '!AW10</f>
        <v>5485</v>
      </c>
      <c r="BC10" s="1838">
        <v>3116</v>
      </c>
      <c r="BD10" s="1839">
        <f t="shared" ref="BD10:BD26" si="7">BC10/BB10</f>
        <v>0.56809480401093893</v>
      </c>
      <c r="BE10" s="1838">
        <f t="shared" ref="BE10:BG27" si="8">AW10+BA10</f>
        <v>133439</v>
      </c>
      <c r="BF10" s="1838">
        <f t="shared" si="8"/>
        <v>140930</v>
      </c>
      <c r="BG10" s="1838">
        <f t="shared" si="8"/>
        <v>132245</v>
      </c>
      <c r="BH10" s="1839">
        <f t="shared" ref="BH10:BH30" si="9">BG10/BF10</f>
        <v>0.93837366068260841</v>
      </c>
      <c r="BI10" s="1838">
        <f t="shared" ref="BI10:BI27" si="10">R10+AI10+AR10+BE10</f>
        <v>134427</v>
      </c>
      <c r="BJ10" s="1838">
        <f t="shared" ref="BJ10:BJ27" si="11">S10+AJ10+AS10+BF10</f>
        <v>144752</v>
      </c>
      <c r="BK10" s="1838">
        <f t="shared" ref="BK10:BK27" si="12">T10+AK10+AT10+BG10</f>
        <v>136067</v>
      </c>
      <c r="BL10" s="1839">
        <f t="shared" ref="BL10:BL30" si="13">BK10/BJ10</f>
        <v>0.94000082900408977</v>
      </c>
      <c r="BM10" s="1824" t="e">
        <f>'[6]éves besz.kiadásai2016'!AQ10-'4 int bevétel'!AK10-'4 int bevétel'!#REF!-BC10</f>
        <v>#REF!</v>
      </c>
      <c r="BN10" s="1824" t="e">
        <f>'[6]éves besz.kiadásai2016'!AP10-'4 int bevétel'!AJ10-'4 int bevétel'!#REF!-BB10</f>
        <v>#REF!</v>
      </c>
    </row>
    <row r="11" spans="1:72" ht="57" customHeight="1" x14ac:dyDescent="0.6">
      <c r="A11" s="1837" t="s">
        <v>1334</v>
      </c>
      <c r="B11" s="1838">
        <f>[4]int.bevételek2016!B10</f>
        <v>840</v>
      </c>
      <c r="C11" s="1838">
        <f>'[5]int.bevételek RM V '!D11</f>
        <v>1516</v>
      </c>
      <c r="D11" s="1838">
        <v>1515</v>
      </c>
      <c r="E11" s="1839">
        <f t="shared" si="0"/>
        <v>0.99934036939313986</v>
      </c>
      <c r="F11" s="1838"/>
      <c r="G11" s="1838"/>
      <c r="H11" s="1838"/>
      <c r="I11" s="1839"/>
      <c r="J11" s="1838"/>
      <c r="K11" s="1838"/>
      <c r="L11" s="1838"/>
      <c r="M11" s="1839"/>
      <c r="N11" s="1838"/>
      <c r="O11" s="1838"/>
      <c r="P11" s="1838"/>
      <c r="Q11" s="1839"/>
      <c r="R11" s="1838">
        <f t="shared" si="1"/>
        <v>840</v>
      </c>
      <c r="S11" s="1838">
        <f t="shared" si="1"/>
        <v>1516</v>
      </c>
      <c r="T11" s="1838">
        <f t="shared" si="1"/>
        <v>1515</v>
      </c>
      <c r="U11" s="1839">
        <f t="shared" si="2"/>
        <v>0.99934036939313986</v>
      </c>
      <c r="V11" s="1837" t="s">
        <v>1334</v>
      </c>
      <c r="W11" s="1838"/>
      <c r="X11" s="1838"/>
      <c r="Y11" s="1838"/>
      <c r="Z11" s="1839"/>
      <c r="AA11" s="1838"/>
      <c r="AB11" s="1838"/>
      <c r="AC11" s="1838"/>
      <c r="AD11" s="1839"/>
      <c r="AE11" s="1838"/>
      <c r="AF11" s="1838"/>
      <c r="AG11" s="1838"/>
      <c r="AH11" s="1839"/>
      <c r="AI11" s="1838">
        <f t="shared" si="3"/>
        <v>0</v>
      </c>
      <c r="AJ11" s="1838">
        <f t="shared" si="3"/>
        <v>0</v>
      </c>
      <c r="AK11" s="1838">
        <f t="shared" si="3"/>
        <v>0</v>
      </c>
      <c r="AL11" s="1839"/>
      <c r="AM11" s="1837" t="s">
        <v>1334</v>
      </c>
      <c r="AN11" s="1838"/>
      <c r="AO11" s="1838">
        <f>'[5]int.bevételek RM V '!AJ11</f>
        <v>1270</v>
      </c>
      <c r="AP11" s="1838">
        <v>1270</v>
      </c>
      <c r="AQ11" s="1839">
        <f t="shared" si="4"/>
        <v>1</v>
      </c>
      <c r="AR11" s="1838">
        <f t="shared" ref="AR11:AR27" si="14">AN11</f>
        <v>0</v>
      </c>
      <c r="AS11" s="1838">
        <f t="shared" ref="AS11:AS27" si="15">AO11</f>
        <v>1270</v>
      </c>
      <c r="AT11" s="1838">
        <f t="shared" ref="AT11:AT27" si="16">AP11</f>
        <v>1270</v>
      </c>
      <c r="AU11" s="1839">
        <f t="shared" si="5"/>
        <v>1</v>
      </c>
      <c r="AV11" s="1837" t="s">
        <v>1334</v>
      </c>
      <c r="AW11" s="1838">
        <f>[4]int.bevételek2016!L10</f>
        <v>99983</v>
      </c>
      <c r="AX11" s="1838">
        <f>'[5]int.bevételek RM V '!AT11</f>
        <v>102371</v>
      </c>
      <c r="AY11" s="1838">
        <v>96289</v>
      </c>
      <c r="AZ11" s="1839">
        <f t="shared" si="6"/>
        <v>0.94058864326811309</v>
      </c>
      <c r="BA11" s="1838"/>
      <c r="BB11" s="1838">
        <f>'[5]int.bevételek RM V '!AW11</f>
        <v>1579</v>
      </c>
      <c r="BC11" s="1838">
        <v>1570</v>
      </c>
      <c r="BD11" s="1839">
        <f t="shared" si="7"/>
        <v>0.99430018999366687</v>
      </c>
      <c r="BE11" s="1838">
        <f t="shared" si="8"/>
        <v>99983</v>
      </c>
      <c r="BF11" s="1838">
        <f t="shared" si="8"/>
        <v>103950</v>
      </c>
      <c r="BG11" s="1838">
        <f t="shared" si="8"/>
        <v>97859</v>
      </c>
      <c r="BH11" s="1839">
        <f t="shared" si="9"/>
        <v>0.94140452140452135</v>
      </c>
      <c r="BI11" s="1838">
        <f t="shared" si="10"/>
        <v>100823</v>
      </c>
      <c r="BJ11" s="1838">
        <f t="shared" si="11"/>
        <v>106736</v>
      </c>
      <c r="BK11" s="1838">
        <f t="shared" si="12"/>
        <v>100644</v>
      </c>
      <c r="BL11" s="1839">
        <f t="shared" si="13"/>
        <v>0.94292459901064307</v>
      </c>
      <c r="BM11" s="1824" t="e">
        <f>'[6]éves besz.kiadásai2016'!AQ11-'4 int bevétel'!AK11-'4 int bevétel'!#REF!-BC11</f>
        <v>#REF!</v>
      </c>
      <c r="BN11" s="1824" t="e">
        <f>'[6]éves besz.kiadásai2016'!AP11-'4 int bevétel'!AJ11-'4 int bevétel'!#REF!-BB11</f>
        <v>#REF!</v>
      </c>
    </row>
    <row r="12" spans="1:72" ht="57" customHeight="1" x14ac:dyDescent="0.6">
      <c r="A12" s="1837" t="s">
        <v>1335</v>
      </c>
      <c r="B12" s="1838">
        <f>[4]int.bevételek2016!B11</f>
        <v>1570</v>
      </c>
      <c r="C12" s="1838">
        <f>'[5]int.bevételek RM V '!D12</f>
        <v>2021</v>
      </c>
      <c r="D12" s="1838">
        <v>2020</v>
      </c>
      <c r="E12" s="1839">
        <f t="shared" si="0"/>
        <v>0.99950519544779814</v>
      </c>
      <c r="F12" s="1838"/>
      <c r="G12" s="1838">
        <f>'[5]int.bevételek RM V '!G12</f>
        <v>200</v>
      </c>
      <c r="H12" s="1838">
        <v>200</v>
      </c>
      <c r="I12" s="1839">
        <f>H12/G12</f>
        <v>1</v>
      </c>
      <c r="J12" s="1838"/>
      <c r="K12" s="1838"/>
      <c r="L12" s="1838"/>
      <c r="M12" s="1839"/>
      <c r="N12" s="1838"/>
      <c r="O12" s="1838"/>
      <c r="P12" s="1838"/>
      <c r="Q12" s="1839"/>
      <c r="R12" s="1838">
        <f t="shared" si="1"/>
        <v>1570</v>
      </c>
      <c r="S12" s="1838">
        <f t="shared" si="1"/>
        <v>2221</v>
      </c>
      <c r="T12" s="1838">
        <f t="shared" si="1"/>
        <v>2220</v>
      </c>
      <c r="U12" s="1839">
        <f t="shared" si="2"/>
        <v>0.99954975236380006</v>
      </c>
      <c r="V12" s="1837" t="s">
        <v>1335</v>
      </c>
      <c r="W12" s="1838"/>
      <c r="X12" s="1838"/>
      <c r="Y12" s="1838"/>
      <c r="Z12" s="1839"/>
      <c r="AA12" s="1838"/>
      <c r="AB12" s="1838"/>
      <c r="AC12" s="1838"/>
      <c r="AD12" s="1839"/>
      <c r="AE12" s="1838"/>
      <c r="AF12" s="1838"/>
      <c r="AG12" s="1838"/>
      <c r="AH12" s="1839"/>
      <c r="AI12" s="1838">
        <f t="shared" si="3"/>
        <v>0</v>
      </c>
      <c r="AJ12" s="1838">
        <f t="shared" si="3"/>
        <v>0</v>
      </c>
      <c r="AK12" s="1838">
        <f t="shared" si="3"/>
        <v>0</v>
      </c>
      <c r="AL12" s="1839"/>
      <c r="AM12" s="1837" t="s">
        <v>1335</v>
      </c>
      <c r="AN12" s="1838"/>
      <c r="AO12" s="1838">
        <f>'[5]int.bevételek RM V '!AJ12</f>
        <v>403</v>
      </c>
      <c r="AP12" s="1838">
        <v>403</v>
      </c>
      <c r="AQ12" s="1839">
        <f t="shared" si="4"/>
        <v>1</v>
      </c>
      <c r="AR12" s="1838">
        <f t="shared" si="14"/>
        <v>0</v>
      </c>
      <c r="AS12" s="1838">
        <f t="shared" si="15"/>
        <v>403</v>
      </c>
      <c r="AT12" s="1838">
        <f t="shared" si="16"/>
        <v>403</v>
      </c>
      <c r="AU12" s="1839">
        <f t="shared" si="5"/>
        <v>1</v>
      </c>
      <c r="AV12" s="1837" t="s">
        <v>1335</v>
      </c>
      <c r="AW12" s="1838">
        <f>[4]int.bevételek2016!L11</f>
        <v>86877</v>
      </c>
      <c r="AX12" s="1838">
        <f>'[5]int.bevételek RM V '!AT12</f>
        <v>90751</v>
      </c>
      <c r="AY12" s="1838">
        <v>87439</v>
      </c>
      <c r="AZ12" s="1839">
        <f t="shared" si="6"/>
        <v>0.96350453438529604</v>
      </c>
      <c r="BA12" s="1838"/>
      <c r="BB12" s="1838">
        <f>'[5]int.bevételek RM V '!AW12</f>
        <v>897</v>
      </c>
      <c r="BC12" s="1838">
        <v>889</v>
      </c>
      <c r="BD12" s="1839">
        <f t="shared" si="7"/>
        <v>0.99108138238573018</v>
      </c>
      <c r="BE12" s="1838">
        <f t="shared" si="8"/>
        <v>86877</v>
      </c>
      <c r="BF12" s="1838">
        <f t="shared" si="8"/>
        <v>91648</v>
      </c>
      <c r="BG12" s="1838">
        <f t="shared" si="8"/>
        <v>88328</v>
      </c>
      <c r="BH12" s="1839">
        <f t="shared" si="9"/>
        <v>0.96377444134078216</v>
      </c>
      <c r="BI12" s="1838">
        <f t="shared" si="10"/>
        <v>88447</v>
      </c>
      <c r="BJ12" s="1838">
        <f t="shared" si="11"/>
        <v>94272</v>
      </c>
      <c r="BK12" s="1838">
        <f t="shared" si="12"/>
        <v>90951</v>
      </c>
      <c r="BL12" s="1839">
        <f t="shared" si="13"/>
        <v>0.96477214867617112</v>
      </c>
      <c r="BM12" s="1824" t="e">
        <f>'[6]éves besz.kiadásai2016'!AQ12-'4 int bevétel'!AK12-'4 int bevétel'!#REF!-BC12</f>
        <v>#REF!</v>
      </c>
      <c r="BN12" s="1824" t="e">
        <f>'[6]éves besz.kiadásai2016'!AP12-'4 int bevétel'!AJ12-'4 int bevétel'!#REF!-BB12</f>
        <v>#REF!</v>
      </c>
    </row>
    <row r="13" spans="1:72" ht="57" customHeight="1" x14ac:dyDescent="0.6">
      <c r="A13" s="1837" t="s">
        <v>1336</v>
      </c>
      <c r="B13" s="1838">
        <f>[4]int.bevételek2016!B12</f>
        <v>810</v>
      </c>
      <c r="C13" s="1838">
        <v>1769</v>
      </c>
      <c r="D13" s="1838">
        <v>1770</v>
      </c>
      <c r="E13" s="1839">
        <f t="shared" si="0"/>
        <v>1.0005652911249294</v>
      </c>
      <c r="F13" s="1838"/>
      <c r="G13" s="1838"/>
      <c r="H13" s="1838"/>
      <c r="I13" s="1839"/>
      <c r="J13" s="1838"/>
      <c r="K13" s="1838"/>
      <c r="L13" s="1838"/>
      <c r="M13" s="1839"/>
      <c r="N13" s="1838"/>
      <c r="O13" s="1838"/>
      <c r="P13" s="1838"/>
      <c r="Q13" s="1839"/>
      <c r="R13" s="1838">
        <f t="shared" si="1"/>
        <v>810</v>
      </c>
      <c r="S13" s="1838">
        <f t="shared" si="1"/>
        <v>1769</v>
      </c>
      <c r="T13" s="1838">
        <f t="shared" si="1"/>
        <v>1770</v>
      </c>
      <c r="U13" s="1839">
        <f t="shared" si="2"/>
        <v>1.0005652911249294</v>
      </c>
      <c r="V13" s="1837" t="s">
        <v>1336</v>
      </c>
      <c r="W13" s="1838"/>
      <c r="X13" s="1838"/>
      <c r="Y13" s="1838"/>
      <c r="Z13" s="1839"/>
      <c r="AA13" s="1838"/>
      <c r="AB13" s="1838"/>
      <c r="AC13" s="1838"/>
      <c r="AD13" s="1839"/>
      <c r="AE13" s="1838"/>
      <c r="AF13" s="1838"/>
      <c r="AG13" s="1838"/>
      <c r="AH13" s="1839"/>
      <c r="AI13" s="1838">
        <f t="shared" si="3"/>
        <v>0</v>
      </c>
      <c r="AJ13" s="1838">
        <f t="shared" si="3"/>
        <v>0</v>
      </c>
      <c r="AK13" s="1838">
        <f t="shared" si="3"/>
        <v>0</v>
      </c>
      <c r="AL13" s="1839"/>
      <c r="AM13" s="1837" t="s">
        <v>1336</v>
      </c>
      <c r="AN13" s="1838"/>
      <c r="AO13" s="1838">
        <v>892</v>
      </c>
      <c r="AP13" s="1838">
        <v>892</v>
      </c>
      <c r="AQ13" s="1839">
        <f t="shared" si="4"/>
        <v>1</v>
      </c>
      <c r="AR13" s="1838">
        <f t="shared" si="14"/>
        <v>0</v>
      </c>
      <c r="AS13" s="1838">
        <f t="shared" si="15"/>
        <v>892</v>
      </c>
      <c r="AT13" s="1838">
        <f t="shared" si="16"/>
        <v>892</v>
      </c>
      <c r="AU13" s="1839">
        <f t="shared" si="5"/>
        <v>1</v>
      </c>
      <c r="AV13" s="1837" t="s">
        <v>1336</v>
      </c>
      <c r="AW13" s="1838">
        <f>[4]int.bevételek2016!L12</f>
        <v>111850</v>
      </c>
      <c r="AX13" s="1838">
        <f>'[5]int.bevételek RM V '!AT13</f>
        <v>115657</v>
      </c>
      <c r="AY13" s="1838">
        <v>112387</v>
      </c>
      <c r="AZ13" s="1839">
        <f t="shared" si="6"/>
        <v>0.97172674373362611</v>
      </c>
      <c r="BA13" s="1838"/>
      <c r="BB13" s="1838">
        <f>'[5]int.bevételek RM V '!AW13</f>
        <v>1693</v>
      </c>
      <c r="BC13" s="1838">
        <v>1691</v>
      </c>
      <c r="BD13" s="1839">
        <f t="shared" si="7"/>
        <v>0.99881866509155348</v>
      </c>
      <c r="BE13" s="1838">
        <f t="shared" si="8"/>
        <v>111850</v>
      </c>
      <c r="BF13" s="1838">
        <f t="shared" si="8"/>
        <v>117350</v>
      </c>
      <c r="BG13" s="1838">
        <f t="shared" si="8"/>
        <v>114078</v>
      </c>
      <c r="BH13" s="1839">
        <f t="shared" si="9"/>
        <v>0.97211759693225397</v>
      </c>
      <c r="BI13" s="1838">
        <f t="shared" si="10"/>
        <v>112660</v>
      </c>
      <c r="BJ13" s="1838">
        <f t="shared" si="11"/>
        <v>120011</v>
      </c>
      <c r="BK13" s="1838">
        <f t="shared" si="12"/>
        <v>116740</v>
      </c>
      <c r="BL13" s="1839">
        <f t="shared" si="13"/>
        <v>0.9727441651181975</v>
      </c>
      <c r="BM13" s="1824" t="e">
        <f>'[6]éves besz.kiadásai2016'!AQ13-'4 int bevétel'!AK13-'4 int bevétel'!#REF!-BC13</f>
        <v>#REF!</v>
      </c>
      <c r="BN13" s="1824" t="e">
        <f>'[6]éves besz.kiadásai2016'!AP13-'4 int bevétel'!AJ13-'4 int bevétel'!#REF!-BB13</f>
        <v>#REF!</v>
      </c>
    </row>
    <row r="14" spans="1:72" ht="57" customHeight="1" x14ac:dyDescent="0.6">
      <c r="A14" s="1837" t="s">
        <v>1337</v>
      </c>
      <c r="B14" s="1838">
        <f>[4]int.bevételek2016!B13</f>
        <v>855</v>
      </c>
      <c r="C14" s="1838">
        <f>'[5]int.bevételek RM V '!D14</f>
        <v>1433</v>
      </c>
      <c r="D14" s="1838">
        <v>1433</v>
      </c>
      <c r="E14" s="1839">
        <f t="shared" si="0"/>
        <v>1</v>
      </c>
      <c r="F14" s="1838"/>
      <c r="G14" s="1838">
        <f>'[5]int.bevételek RM V '!G14</f>
        <v>44</v>
      </c>
      <c r="H14" s="1838">
        <v>44</v>
      </c>
      <c r="I14" s="1839">
        <f>H14/G14</f>
        <v>1</v>
      </c>
      <c r="J14" s="1838"/>
      <c r="K14" s="1838"/>
      <c r="L14" s="1838"/>
      <c r="M14" s="1839"/>
      <c r="N14" s="1838"/>
      <c r="O14" s="1838"/>
      <c r="P14" s="1838"/>
      <c r="Q14" s="1839"/>
      <c r="R14" s="1838">
        <f t="shared" si="1"/>
        <v>855</v>
      </c>
      <c r="S14" s="1838">
        <f t="shared" si="1"/>
        <v>1477</v>
      </c>
      <c r="T14" s="1838">
        <f t="shared" si="1"/>
        <v>1477</v>
      </c>
      <c r="U14" s="1839">
        <f t="shared" si="2"/>
        <v>1</v>
      </c>
      <c r="V14" s="1837" t="s">
        <v>1337</v>
      </c>
      <c r="W14" s="1838"/>
      <c r="X14" s="1838"/>
      <c r="Y14" s="1838"/>
      <c r="Z14" s="1839"/>
      <c r="AA14" s="1838"/>
      <c r="AB14" s="1838"/>
      <c r="AC14" s="1838"/>
      <c r="AD14" s="1839"/>
      <c r="AE14" s="1838"/>
      <c r="AF14" s="1838"/>
      <c r="AG14" s="1838"/>
      <c r="AH14" s="1839"/>
      <c r="AI14" s="1838">
        <f t="shared" si="3"/>
        <v>0</v>
      </c>
      <c r="AJ14" s="1838">
        <f t="shared" si="3"/>
        <v>0</v>
      </c>
      <c r="AK14" s="1838">
        <f t="shared" si="3"/>
        <v>0</v>
      </c>
      <c r="AL14" s="1839"/>
      <c r="AM14" s="1837" t="s">
        <v>1337</v>
      </c>
      <c r="AN14" s="1838"/>
      <c r="AO14" s="1838">
        <f>'[5]int.bevételek RM V '!AJ14</f>
        <v>1229</v>
      </c>
      <c r="AP14" s="1838">
        <v>1230</v>
      </c>
      <c r="AQ14" s="1839">
        <f t="shared" si="4"/>
        <v>1.000813669650122</v>
      </c>
      <c r="AR14" s="1838">
        <f t="shared" si="14"/>
        <v>0</v>
      </c>
      <c r="AS14" s="1838">
        <f t="shared" si="15"/>
        <v>1229</v>
      </c>
      <c r="AT14" s="1838">
        <f t="shared" si="16"/>
        <v>1230</v>
      </c>
      <c r="AU14" s="1839">
        <f t="shared" si="5"/>
        <v>1.000813669650122</v>
      </c>
      <c r="AV14" s="1837" t="s">
        <v>1337</v>
      </c>
      <c r="AW14" s="1838">
        <f>[4]int.bevételek2016!L13</f>
        <v>104438</v>
      </c>
      <c r="AX14" s="1838">
        <f>'[5]int.bevételek RM V '!AT14</f>
        <v>108342</v>
      </c>
      <c r="AY14" s="1838">
        <v>102486</v>
      </c>
      <c r="AZ14" s="1839">
        <f t="shared" si="6"/>
        <v>0.94594893946945779</v>
      </c>
      <c r="BA14" s="1838"/>
      <c r="BB14" s="1838">
        <f>'[5]int.bevételek RM V '!AW14</f>
        <v>7383</v>
      </c>
      <c r="BC14" s="1838">
        <v>7374</v>
      </c>
      <c r="BD14" s="1839">
        <f t="shared" si="7"/>
        <v>0.99878098334010568</v>
      </c>
      <c r="BE14" s="1838">
        <f t="shared" si="8"/>
        <v>104438</v>
      </c>
      <c r="BF14" s="1838">
        <f t="shared" si="8"/>
        <v>115725</v>
      </c>
      <c r="BG14" s="1838">
        <f t="shared" si="8"/>
        <v>109860</v>
      </c>
      <c r="BH14" s="1839">
        <f t="shared" si="9"/>
        <v>0.94931950745301363</v>
      </c>
      <c r="BI14" s="1838">
        <f t="shared" si="10"/>
        <v>105293</v>
      </c>
      <c r="BJ14" s="1838">
        <f t="shared" si="11"/>
        <v>118431</v>
      </c>
      <c r="BK14" s="1838">
        <f t="shared" si="12"/>
        <v>112567</v>
      </c>
      <c r="BL14" s="1839">
        <f t="shared" si="13"/>
        <v>0.95048593695907324</v>
      </c>
      <c r="BM14" s="1824" t="e">
        <f>'[6]éves besz.kiadásai2016'!AQ14-'4 int bevétel'!AK14-'4 int bevétel'!#REF!-BC14</f>
        <v>#REF!</v>
      </c>
      <c r="BN14" s="1824" t="e">
        <f>'[6]éves besz.kiadásai2016'!AP14-'4 int bevétel'!AJ14-'4 int bevétel'!#REF!-BB14</f>
        <v>#REF!</v>
      </c>
    </row>
    <row r="15" spans="1:72" ht="57" customHeight="1" x14ac:dyDescent="0.6">
      <c r="A15" s="1837" t="s">
        <v>1338</v>
      </c>
      <c r="B15" s="1838">
        <f>[4]int.bevételek2016!B14</f>
        <v>889</v>
      </c>
      <c r="C15" s="1838">
        <f>'[5]int.bevételek RM V '!D15</f>
        <v>1624</v>
      </c>
      <c r="D15" s="1838">
        <v>1624</v>
      </c>
      <c r="E15" s="1839">
        <f t="shared" si="0"/>
        <v>1</v>
      </c>
      <c r="F15" s="1838"/>
      <c r="G15" s="1838"/>
      <c r="H15" s="1838"/>
      <c r="I15" s="1839"/>
      <c r="J15" s="1838"/>
      <c r="K15" s="1838"/>
      <c r="L15" s="1838"/>
      <c r="M15" s="1839"/>
      <c r="N15" s="1838"/>
      <c r="O15" s="1838"/>
      <c r="P15" s="1838"/>
      <c r="Q15" s="1839"/>
      <c r="R15" s="1838">
        <f t="shared" si="1"/>
        <v>889</v>
      </c>
      <c r="S15" s="1838">
        <f t="shared" si="1"/>
        <v>1624</v>
      </c>
      <c r="T15" s="1838">
        <f t="shared" si="1"/>
        <v>1624</v>
      </c>
      <c r="U15" s="1839">
        <f t="shared" si="2"/>
        <v>1</v>
      </c>
      <c r="V15" s="1837" t="s">
        <v>1338</v>
      </c>
      <c r="W15" s="1838"/>
      <c r="X15" s="1838"/>
      <c r="Y15" s="1838"/>
      <c r="Z15" s="1839"/>
      <c r="AA15" s="1838"/>
      <c r="AB15" s="1838"/>
      <c r="AC15" s="1838"/>
      <c r="AD15" s="1839"/>
      <c r="AE15" s="1838"/>
      <c r="AF15" s="1838"/>
      <c r="AG15" s="1838"/>
      <c r="AH15" s="1839"/>
      <c r="AI15" s="1838">
        <f t="shared" si="3"/>
        <v>0</v>
      </c>
      <c r="AJ15" s="1838">
        <f t="shared" si="3"/>
        <v>0</v>
      </c>
      <c r="AK15" s="1838">
        <f t="shared" si="3"/>
        <v>0</v>
      </c>
      <c r="AL15" s="1839"/>
      <c r="AM15" s="1837" t="s">
        <v>1338</v>
      </c>
      <c r="AN15" s="1838"/>
      <c r="AO15" s="1838">
        <f>'[5]int.bevételek RM V '!AJ15</f>
        <v>882</v>
      </c>
      <c r="AP15" s="1838">
        <f>881+1</f>
        <v>882</v>
      </c>
      <c r="AQ15" s="1839">
        <f t="shared" si="4"/>
        <v>1</v>
      </c>
      <c r="AR15" s="1838">
        <f t="shared" si="14"/>
        <v>0</v>
      </c>
      <c r="AS15" s="1838">
        <f t="shared" si="15"/>
        <v>882</v>
      </c>
      <c r="AT15" s="1838">
        <f t="shared" si="16"/>
        <v>882</v>
      </c>
      <c r="AU15" s="1839">
        <f t="shared" si="5"/>
        <v>1</v>
      </c>
      <c r="AV15" s="1837" t="s">
        <v>1338</v>
      </c>
      <c r="AW15" s="1838">
        <f>[4]int.bevételek2016!L14</f>
        <v>83690</v>
      </c>
      <c r="AX15" s="1838">
        <f>'[5]int.bevételek RM V '!AT15</f>
        <v>88714</v>
      </c>
      <c r="AY15" s="1838">
        <v>82913</v>
      </c>
      <c r="AZ15" s="1839">
        <f t="shared" si="6"/>
        <v>0.93461009536262596</v>
      </c>
      <c r="BA15" s="1838"/>
      <c r="BB15" s="1838">
        <f>'[5]int.bevételek RM V '!AW15</f>
        <v>1331</v>
      </c>
      <c r="BC15" s="1838">
        <v>1315</v>
      </c>
      <c r="BD15" s="1839">
        <f t="shared" si="7"/>
        <v>0.98797896318557477</v>
      </c>
      <c r="BE15" s="1838">
        <f t="shared" si="8"/>
        <v>83690</v>
      </c>
      <c r="BF15" s="1838">
        <f t="shared" si="8"/>
        <v>90045</v>
      </c>
      <c r="BG15" s="1838">
        <f t="shared" si="8"/>
        <v>84228</v>
      </c>
      <c r="BH15" s="1839">
        <f t="shared" si="9"/>
        <v>0.93539896718307514</v>
      </c>
      <c r="BI15" s="1838">
        <f t="shared" si="10"/>
        <v>84579</v>
      </c>
      <c r="BJ15" s="1838">
        <f t="shared" si="11"/>
        <v>92551</v>
      </c>
      <c r="BK15" s="1838">
        <f t="shared" si="12"/>
        <v>86734</v>
      </c>
      <c r="BL15" s="1839">
        <f t="shared" si="13"/>
        <v>0.93714816695659686</v>
      </c>
      <c r="BM15" s="1824" t="e">
        <f>'[6]éves besz.kiadásai2016'!AQ15-'4 int bevétel'!AK15-'4 int bevétel'!#REF!-BC15</f>
        <v>#REF!</v>
      </c>
      <c r="BN15" s="1824" t="e">
        <f>'[6]éves besz.kiadásai2016'!AP15-'4 int bevétel'!AJ15-'4 int bevétel'!#REF!-BB15</f>
        <v>#REF!</v>
      </c>
    </row>
    <row r="16" spans="1:72" ht="57" customHeight="1" x14ac:dyDescent="0.6">
      <c r="A16" s="1837" t="s">
        <v>1339</v>
      </c>
      <c r="B16" s="1838">
        <f>[4]int.bevételek2016!B15</f>
        <v>428</v>
      </c>
      <c r="C16" s="1838">
        <f>'[5]int.bevételek RM V '!D16</f>
        <v>1014</v>
      </c>
      <c r="D16" s="1838">
        <v>1013</v>
      </c>
      <c r="E16" s="1839">
        <f t="shared" si="0"/>
        <v>0.99901380670611439</v>
      </c>
      <c r="F16" s="1838"/>
      <c r="G16" s="1838"/>
      <c r="H16" s="1838"/>
      <c r="I16" s="1839"/>
      <c r="J16" s="1838"/>
      <c r="K16" s="1838">
        <f>'[5]int.bevételek RM V '!J16</f>
        <v>30</v>
      </c>
      <c r="L16" s="1838">
        <v>30</v>
      </c>
      <c r="M16" s="1839">
        <f>L16/K16</f>
        <v>1</v>
      </c>
      <c r="N16" s="1838"/>
      <c r="O16" s="1838"/>
      <c r="P16" s="1838"/>
      <c r="Q16" s="1839"/>
      <c r="R16" s="1838">
        <f t="shared" si="1"/>
        <v>428</v>
      </c>
      <c r="S16" s="1838">
        <f t="shared" si="1"/>
        <v>1044</v>
      </c>
      <c r="T16" s="1838">
        <f t="shared" si="1"/>
        <v>1043</v>
      </c>
      <c r="U16" s="1839">
        <f t="shared" si="2"/>
        <v>0.99904214559386972</v>
      </c>
      <c r="V16" s="1837" t="s">
        <v>1339</v>
      </c>
      <c r="W16" s="1838"/>
      <c r="X16" s="1838"/>
      <c r="Y16" s="1838"/>
      <c r="Z16" s="1839"/>
      <c r="AA16" s="1838"/>
      <c r="AB16" s="1838"/>
      <c r="AC16" s="1838"/>
      <c r="AD16" s="1839"/>
      <c r="AE16" s="1838"/>
      <c r="AF16" s="1838"/>
      <c r="AG16" s="1838"/>
      <c r="AH16" s="1839"/>
      <c r="AI16" s="1838">
        <f t="shared" si="3"/>
        <v>0</v>
      </c>
      <c r="AJ16" s="1838">
        <f t="shared" si="3"/>
        <v>0</v>
      </c>
      <c r="AK16" s="1838">
        <f t="shared" si="3"/>
        <v>0</v>
      </c>
      <c r="AL16" s="1839"/>
      <c r="AM16" s="1837" t="s">
        <v>1339</v>
      </c>
      <c r="AN16" s="1838"/>
      <c r="AO16" s="1838">
        <f>'[5]int.bevételek RM V '!AJ16</f>
        <v>671</v>
      </c>
      <c r="AP16" s="1838">
        <v>671</v>
      </c>
      <c r="AQ16" s="1839">
        <f t="shared" si="4"/>
        <v>1</v>
      </c>
      <c r="AR16" s="1838">
        <f t="shared" si="14"/>
        <v>0</v>
      </c>
      <c r="AS16" s="1838">
        <f t="shared" si="15"/>
        <v>671</v>
      </c>
      <c r="AT16" s="1838">
        <f t="shared" si="16"/>
        <v>671</v>
      </c>
      <c r="AU16" s="1839">
        <f t="shared" si="5"/>
        <v>1</v>
      </c>
      <c r="AV16" s="1837" t="s">
        <v>1339</v>
      </c>
      <c r="AW16" s="1838">
        <f>[4]int.bevételek2016!L15</f>
        <v>70319</v>
      </c>
      <c r="AX16" s="1838">
        <f>'[5]int.bevételek RM V '!AT16</f>
        <v>71812</v>
      </c>
      <c r="AY16" s="1838">
        <v>70474</v>
      </c>
      <c r="AZ16" s="1839">
        <f t="shared" si="6"/>
        <v>0.98136801648749517</v>
      </c>
      <c r="BA16" s="1838"/>
      <c r="BB16" s="1838">
        <f>'[5]int.bevételek RM V '!AW16</f>
        <v>1637</v>
      </c>
      <c r="BC16" s="1838">
        <v>1392</v>
      </c>
      <c r="BD16" s="1839">
        <f t="shared" si="7"/>
        <v>0.85033598045204639</v>
      </c>
      <c r="BE16" s="1838">
        <f t="shared" si="8"/>
        <v>70319</v>
      </c>
      <c r="BF16" s="1838">
        <f t="shared" si="8"/>
        <v>73449</v>
      </c>
      <c r="BG16" s="1838">
        <f t="shared" si="8"/>
        <v>71866</v>
      </c>
      <c r="BH16" s="1839">
        <f t="shared" si="9"/>
        <v>0.97844763032852733</v>
      </c>
      <c r="BI16" s="1838">
        <f t="shared" si="10"/>
        <v>70747</v>
      </c>
      <c r="BJ16" s="1838">
        <f t="shared" si="11"/>
        <v>75164</v>
      </c>
      <c r="BK16" s="1838">
        <f t="shared" si="12"/>
        <v>73580</v>
      </c>
      <c r="BL16" s="1839">
        <f t="shared" si="13"/>
        <v>0.9789260816348252</v>
      </c>
      <c r="BM16" s="1824" t="e">
        <f>'[6]éves besz.kiadásai2016'!AQ16-'4 int bevétel'!AK16-'4 int bevétel'!#REF!-BC16</f>
        <v>#REF!</v>
      </c>
      <c r="BN16" s="1824" t="e">
        <f>'[6]éves besz.kiadásai2016'!AP16-'4 int bevétel'!AJ16-'4 int bevétel'!#REF!-BB16</f>
        <v>#REF!</v>
      </c>
    </row>
    <row r="17" spans="1:66" ht="57" customHeight="1" x14ac:dyDescent="0.6">
      <c r="A17" s="1837" t="s">
        <v>1340</v>
      </c>
      <c r="B17" s="1838">
        <f>[4]int.bevételek2016!B16</f>
        <v>525</v>
      </c>
      <c r="C17" s="1838">
        <f>'[5]int.bevételek RM V '!D17</f>
        <v>1138</v>
      </c>
      <c r="D17" s="1838">
        <v>1138</v>
      </c>
      <c r="E17" s="1839">
        <f t="shared" si="0"/>
        <v>1</v>
      </c>
      <c r="F17" s="1838"/>
      <c r="G17" s="1838"/>
      <c r="H17" s="1838"/>
      <c r="I17" s="1839"/>
      <c r="J17" s="1838"/>
      <c r="K17" s="1838"/>
      <c r="L17" s="1838"/>
      <c r="M17" s="1839"/>
      <c r="N17" s="1838"/>
      <c r="O17" s="1838"/>
      <c r="P17" s="1838"/>
      <c r="Q17" s="1839"/>
      <c r="R17" s="1838">
        <f t="shared" si="1"/>
        <v>525</v>
      </c>
      <c r="S17" s="1838">
        <f t="shared" si="1"/>
        <v>1138</v>
      </c>
      <c r="T17" s="1838">
        <f t="shared" si="1"/>
        <v>1138</v>
      </c>
      <c r="U17" s="1839">
        <f t="shared" si="2"/>
        <v>1</v>
      </c>
      <c r="V17" s="1837" t="s">
        <v>1340</v>
      </c>
      <c r="W17" s="1838"/>
      <c r="X17" s="1838"/>
      <c r="Y17" s="1838"/>
      <c r="Z17" s="1839"/>
      <c r="AA17" s="1838"/>
      <c r="AB17" s="1838"/>
      <c r="AC17" s="1838"/>
      <c r="AD17" s="1839"/>
      <c r="AE17" s="1838"/>
      <c r="AF17" s="1838"/>
      <c r="AG17" s="1838"/>
      <c r="AH17" s="1839"/>
      <c r="AI17" s="1838">
        <f t="shared" si="3"/>
        <v>0</v>
      </c>
      <c r="AJ17" s="1838">
        <f t="shared" si="3"/>
        <v>0</v>
      </c>
      <c r="AK17" s="1838">
        <f t="shared" si="3"/>
        <v>0</v>
      </c>
      <c r="AL17" s="1839"/>
      <c r="AM17" s="1837" t="s">
        <v>1340</v>
      </c>
      <c r="AN17" s="1838"/>
      <c r="AO17" s="1838">
        <f>'[5]int.bevételek RM V '!AJ17</f>
        <v>418</v>
      </c>
      <c r="AP17" s="1838">
        <v>417</v>
      </c>
      <c r="AQ17" s="1839">
        <f t="shared" si="4"/>
        <v>0.99760765550239239</v>
      </c>
      <c r="AR17" s="1838">
        <f t="shared" si="14"/>
        <v>0</v>
      </c>
      <c r="AS17" s="1838">
        <f t="shared" si="15"/>
        <v>418</v>
      </c>
      <c r="AT17" s="1838">
        <f t="shared" si="16"/>
        <v>417</v>
      </c>
      <c r="AU17" s="1839">
        <f t="shared" si="5"/>
        <v>0.99760765550239239</v>
      </c>
      <c r="AV17" s="1837" t="s">
        <v>1340</v>
      </c>
      <c r="AW17" s="1838">
        <f>[4]int.bevételek2016!L16</f>
        <v>73155</v>
      </c>
      <c r="AX17" s="1838">
        <f>'[5]int.bevételek RM V '!AT17</f>
        <v>76623</v>
      </c>
      <c r="AY17" s="1838">
        <v>75144</v>
      </c>
      <c r="AZ17" s="1839">
        <f t="shared" si="6"/>
        <v>0.98069770173446613</v>
      </c>
      <c r="BA17" s="1838"/>
      <c r="BB17" s="1838">
        <f>'[5]int.bevételek RM V '!AW17</f>
        <v>3829</v>
      </c>
      <c r="BC17" s="1838">
        <v>2305</v>
      </c>
      <c r="BD17" s="1839">
        <f t="shared" si="7"/>
        <v>0.60198485244189082</v>
      </c>
      <c r="BE17" s="1838">
        <f t="shared" si="8"/>
        <v>73155</v>
      </c>
      <c r="BF17" s="1838">
        <f t="shared" si="8"/>
        <v>80452</v>
      </c>
      <c r="BG17" s="1838">
        <f t="shared" si="8"/>
        <v>77449</v>
      </c>
      <c r="BH17" s="1839">
        <f t="shared" si="9"/>
        <v>0.96267339531646201</v>
      </c>
      <c r="BI17" s="1838">
        <f t="shared" si="10"/>
        <v>73680</v>
      </c>
      <c r="BJ17" s="1838">
        <f t="shared" si="11"/>
        <v>82008</v>
      </c>
      <c r="BK17" s="1838">
        <f t="shared" si="12"/>
        <v>79004</v>
      </c>
      <c r="BL17" s="1839">
        <f t="shared" si="13"/>
        <v>0.96336942737293918</v>
      </c>
      <c r="BM17" s="1824" t="e">
        <f>'[6]éves besz.kiadásai2016'!AQ17-'4 int bevétel'!AK17-'4 int bevétel'!#REF!-BC17</f>
        <v>#REF!</v>
      </c>
      <c r="BN17" s="1824" t="e">
        <f>'[6]éves besz.kiadásai2016'!AP17-'4 int bevétel'!AJ17-'4 int bevétel'!#REF!-BB17</f>
        <v>#REF!</v>
      </c>
    </row>
    <row r="18" spans="1:66" ht="57" customHeight="1" x14ac:dyDescent="0.6">
      <c r="A18" s="1837" t="s">
        <v>1341</v>
      </c>
      <c r="B18" s="1838">
        <f>[4]int.bevételek2016!B17</f>
        <v>1176</v>
      </c>
      <c r="C18" s="1838">
        <f>'[5]int.bevételek RM V '!D18</f>
        <v>2031</v>
      </c>
      <c r="D18" s="1838">
        <v>2030</v>
      </c>
      <c r="E18" s="1839">
        <f t="shared" si="0"/>
        <v>0.99950763170851797</v>
      </c>
      <c r="F18" s="1838"/>
      <c r="G18" s="1838"/>
      <c r="H18" s="1838"/>
      <c r="I18" s="1839"/>
      <c r="J18" s="1838"/>
      <c r="K18" s="1838"/>
      <c r="L18" s="1838"/>
      <c r="M18" s="1839"/>
      <c r="N18" s="1838"/>
      <c r="O18" s="1838"/>
      <c r="P18" s="1838"/>
      <c r="Q18" s="1839"/>
      <c r="R18" s="1838">
        <f t="shared" si="1"/>
        <v>1176</v>
      </c>
      <c r="S18" s="1838">
        <f t="shared" si="1"/>
        <v>2031</v>
      </c>
      <c r="T18" s="1838">
        <f t="shared" si="1"/>
        <v>2030</v>
      </c>
      <c r="U18" s="1839">
        <f t="shared" si="2"/>
        <v>0.99950763170851797</v>
      </c>
      <c r="V18" s="1837" t="s">
        <v>1341</v>
      </c>
      <c r="W18" s="1838"/>
      <c r="X18" s="1838"/>
      <c r="Y18" s="1838"/>
      <c r="Z18" s="1839"/>
      <c r="AA18" s="1838"/>
      <c r="AB18" s="1838"/>
      <c r="AC18" s="1838"/>
      <c r="AD18" s="1839"/>
      <c r="AE18" s="1838"/>
      <c r="AF18" s="1838"/>
      <c r="AG18" s="1838"/>
      <c r="AH18" s="1839"/>
      <c r="AI18" s="1838">
        <f t="shared" si="3"/>
        <v>0</v>
      </c>
      <c r="AJ18" s="1838">
        <f t="shared" si="3"/>
        <v>0</v>
      </c>
      <c r="AK18" s="1838">
        <f t="shared" si="3"/>
        <v>0</v>
      </c>
      <c r="AL18" s="1839"/>
      <c r="AM18" s="1837" t="s">
        <v>1341</v>
      </c>
      <c r="AN18" s="1838"/>
      <c r="AO18" s="1838">
        <f>'[5]int.bevételek RM V '!AJ18</f>
        <v>993</v>
      </c>
      <c r="AP18" s="1838">
        <v>993</v>
      </c>
      <c r="AQ18" s="1839">
        <f t="shared" si="4"/>
        <v>1</v>
      </c>
      <c r="AR18" s="1838">
        <f>AN18</f>
        <v>0</v>
      </c>
      <c r="AS18" s="1838">
        <f t="shared" si="15"/>
        <v>993</v>
      </c>
      <c r="AT18" s="1838">
        <f t="shared" si="16"/>
        <v>993</v>
      </c>
      <c r="AU18" s="1839">
        <f t="shared" si="5"/>
        <v>1</v>
      </c>
      <c r="AV18" s="1837" t="s">
        <v>1341</v>
      </c>
      <c r="AW18" s="1838">
        <f>[4]int.bevételek2016!L17</f>
        <v>102582</v>
      </c>
      <c r="AX18" s="1838">
        <f>'[5]int.bevételek RM V '!AT18</f>
        <v>107352</v>
      </c>
      <c r="AY18" s="1838">
        <v>103350</v>
      </c>
      <c r="AZ18" s="1839">
        <f t="shared" si="6"/>
        <v>0.96272076905879722</v>
      </c>
      <c r="BA18" s="1838"/>
      <c r="BB18" s="1838">
        <f>'[5]int.bevételek RM V '!AW18</f>
        <v>763</v>
      </c>
      <c r="BC18" s="1838">
        <v>738</v>
      </c>
      <c r="BD18" s="1839">
        <f t="shared" si="7"/>
        <v>0.96723460026212316</v>
      </c>
      <c r="BE18" s="1838">
        <f t="shared" si="8"/>
        <v>102582</v>
      </c>
      <c r="BF18" s="1838">
        <f t="shared" si="8"/>
        <v>108115</v>
      </c>
      <c r="BG18" s="1838">
        <f t="shared" si="8"/>
        <v>104088</v>
      </c>
      <c r="BH18" s="1839">
        <f t="shared" si="9"/>
        <v>0.96275262452018684</v>
      </c>
      <c r="BI18" s="1838">
        <f t="shared" si="10"/>
        <v>103758</v>
      </c>
      <c r="BJ18" s="1838">
        <f t="shared" si="11"/>
        <v>111139</v>
      </c>
      <c r="BK18" s="1838">
        <f t="shared" si="12"/>
        <v>107111</v>
      </c>
      <c r="BL18" s="1839">
        <f t="shared" si="13"/>
        <v>0.96375709696866085</v>
      </c>
      <c r="BM18" s="1824" t="e">
        <f>'[6]éves besz.kiadásai2016'!AQ18-'4 int bevétel'!AK18-'4 int bevétel'!#REF!-BC18</f>
        <v>#REF!</v>
      </c>
      <c r="BN18" s="1824" t="e">
        <f>'[6]éves besz.kiadásai2016'!AP18-'4 int bevétel'!AJ18-'4 int bevétel'!#REF!-BB18</f>
        <v>#REF!</v>
      </c>
    </row>
    <row r="19" spans="1:66" ht="57" customHeight="1" x14ac:dyDescent="0.6">
      <c r="A19" s="1837" t="s">
        <v>1342</v>
      </c>
      <c r="B19" s="1838">
        <f>[4]int.bevételek2016!B18</f>
        <v>1918</v>
      </c>
      <c r="C19" s="1838">
        <f>'[5]int.bevételek RM V '!D19</f>
        <v>2546</v>
      </c>
      <c r="D19" s="1838">
        <v>2546</v>
      </c>
      <c r="E19" s="1839">
        <f t="shared" si="0"/>
        <v>1</v>
      </c>
      <c r="F19" s="1838"/>
      <c r="G19" s="1838"/>
      <c r="H19" s="1838"/>
      <c r="I19" s="1839"/>
      <c r="J19" s="1838"/>
      <c r="K19" s="1838"/>
      <c r="L19" s="1838"/>
      <c r="M19" s="1839"/>
      <c r="N19" s="1838"/>
      <c r="O19" s="1838"/>
      <c r="P19" s="1838"/>
      <c r="Q19" s="1839"/>
      <c r="R19" s="1838">
        <f t="shared" si="1"/>
        <v>1918</v>
      </c>
      <c r="S19" s="1838">
        <f t="shared" si="1"/>
        <v>2546</v>
      </c>
      <c r="T19" s="1838">
        <f t="shared" si="1"/>
        <v>2546</v>
      </c>
      <c r="U19" s="1839">
        <f t="shared" si="2"/>
        <v>1</v>
      </c>
      <c r="V19" s="1837" t="s">
        <v>1342</v>
      </c>
      <c r="W19" s="1838"/>
      <c r="X19" s="1838"/>
      <c r="Y19" s="1838"/>
      <c r="Z19" s="1839"/>
      <c r="AA19" s="1838"/>
      <c r="AB19" s="1838"/>
      <c r="AC19" s="1838"/>
      <c r="AD19" s="1839"/>
      <c r="AE19" s="1838"/>
      <c r="AF19" s="1838"/>
      <c r="AG19" s="1838"/>
      <c r="AH19" s="1839"/>
      <c r="AI19" s="1838">
        <f t="shared" si="3"/>
        <v>0</v>
      </c>
      <c r="AJ19" s="1838">
        <f t="shared" si="3"/>
        <v>0</v>
      </c>
      <c r="AK19" s="1838">
        <f t="shared" si="3"/>
        <v>0</v>
      </c>
      <c r="AL19" s="1839"/>
      <c r="AM19" s="1837" t="s">
        <v>1342</v>
      </c>
      <c r="AN19" s="1838"/>
      <c r="AO19" s="1838">
        <f>'[5]int.bevételek RM V '!AJ19</f>
        <v>935</v>
      </c>
      <c r="AP19" s="1838">
        <v>935</v>
      </c>
      <c r="AQ19" s="1839">
        <f t="shared" si="4"/>
        <v>1</v>
      </c>
      <c r="AR19" s="1838">
        <f t="shared" si="14"/>
        <v>0</v>
      </c>
      <c r="AS19" s="1838">
        <f t="shared" si="15"/>
        <v>935</v>
      </c>
      <c r="AT19" s="1838">
        <f t="shared" si="16"/>
        <v>935</v>
      </c>
      <c r="AU19" s="1839">
        <f t="shared" si="5"/>
        <v>1</v>
      </c>
      <c r="AV19" s="1837" t="s">
        <v>1342</v>
      </c>
      <c r="AW19" s="1838">
        <f>[4]int.bevételek2016!L18</f>
        <v>118841</v>
      </c>
      <c r="AX19" s="1838">
        <f>'[5]int.bevételek RM V '!AT19</f>
        <v>122258</v>
      </c>
      <c r="AY19" s="1838">
        <f>119192-1</f>
        <v>119191</v>
      </c>
      <c r="AZ19" s="1839">
        <f t="shared" si="6"/>
        <v>0.97491370707847336</v>
      </c>
      <c r="BA19" s="1838"/>
      <c r="BB19" s="1838">
        <f>'[5]int.bevételek RM V '!AW19</f>
        <v>9279</v>
      </c>
      <c r="BC19" s="1838">
        <v>8420</v>
      </c>
      <c r="BD19" s="1839">
        <f t="shared" si="7"/>
        <v>0.90742536911305094</v>
      </c>
      <c r="BE19" s="1838">
        <f t="shared" si="8"/>
        <v>118841</v>
      </c>
      <c r="BF19" s="1838">
        <f t="shared" si="8"/>
        <v>131537</v>
      </c>
      <c r="BG19" s="1838">
        <f t="shared" si="8"/>
        <v>127611</v>
      </c>
      <c r="BH19" s="1839">
        <f t="shared" si="9"/>
        <v>0.970152884739655</v>
      </c>
      <c r="BI19" s="1838">
        <f t="shared" si="10"/>
        <v>120759</v>
      </c>
      <c r="BJ19" s="1838">
        <f t="shared" si="11"/>
        <v>135018</v>
      </c>
      <c r="BK19" s="1838">
        <f t="shared" si="12"/>
        <v>131092</v>
      </c>
      <c r="BL19" s="1839">
        <f t="shared" si="13"/>
        <v>0.97092239553244752</v>
      </c>
      <c r="BM19" s="1824" t="e">
        <f>'[6]éves besz.kiadásai2016'!AQ19-'4 int bevétel'!AK19-'4 int bevétel'!#REF!-BC19</f>
        <v>#REF!</v>
      </c>
      <c r="BN19" s="1824" t="e">
        <f>'[6]éves besz.kiadásai2016'!AP19-'4 int bevétel'!AJ19-'4 int bevétel'!#REF!-BB19</f>
        <v>#REF!</v>
      </c>
    </row>
    <row r="20" spans="1:66" ht="57" customHeight="1" x14ac:dyDescent="0.6">
      <c r="A20" s="1837" t="s">
        <v>1343</v>
      </c>
      <c r="B20" s="1838">
        <f>[4]int.bevételek2016!B19</f>
        <v>545</v>
      </c>
      <c r="C20" s="1838">
        <f>'[5]int.bevételek RM V '!D20</f>
        <v>975</v>
      </c>
      <c r="D20" s="1838">
        <v>975</v>
      </c>
      <c r="E20" s="1839">
        <f t="shared" si="0"/>
        <v>1</v>
      </c>
      <c r="F20" s="1838"/>
      <c r="G20" s="1838"/>
      <c r="H20" s="1838"/>
      <c r="I20" s="1839"/>
      <c r="J20" s="1838"/>
      <c r="K20" s="1838">
        <f>'[5]int.bevételek RM V '!J20</f>
        <v>200</v>
      </c>
      <c r="L20" s="1838">
        <v>200</v>
      </c>
      <c r="M20" s="1839">
        <f>L20/K20</f>
        <v>1</v>
      </c>
      <c r="N20" s="1838"/>
      <c r="O20" s="1838"/>
      <c r="P20" s="1838"/>
      <c r="Q20" s="1839"/>
      <c r="R20" s="1838">
        <f t="shared" si="1"/>
        <v>545</v>
      </c>
      <c r="S20" s="1838">
        <f t="shared" si="1"/>
        <v>1175</v>
      </c>
      <c r="T20" s="1838">
        <f t="shared" si="1"/>
        <v>1175</v>
      </c>
      <c r="U20" s="1839">
        <f t="shared" si="2"/>
        <v>1</v>
      </c>
      <c r="V20" s="1837" t="s">
        <v>1343</v>
      </c>
      <c r="W20" s="1838"/>
      <c r="X20" s="1838"/>
      <c r="Y20" s="1838"/>
      <c r="Z20" s="1839"/>
      <c r="AA20" s="1838"/>
      <c r="AB20" s="1838"/>
      <c r="AC20" s="1838"/>
      <c r="AD20" s="1839"/>
      <c r="AE20" s="1838"/>
      <c r="AF20" s="1838"/>
      <c r="AG20" s="1838"/>
      <c r="AH20" s="1839"/>
      <c r="AI20" s="1838">
        <f t="shared" si="3"/>
        <v>0</v>
      </c>
      <c r="AJ20" s="1838">
        <f t="shared" si="3"/>
        <v>0</v>
      </c>
      <c r="AK20" s="1838">
        <f t="shared" si="3"/>
        <v>0</v>
      </c>
      <c r="AL20" s="1839"/>
      <c r="AM20" s="1837" t="s">
        <v>1343</v>
      </c>
      <c r="AN20" s="1838"/>
      <c r="AO20" s="1838">
        <f>'[5]int.bevételek RM V '!AJ20</f>
        <v>504</v>
      </c>
      <c r="AP20" s="1838">
        <v>504</v>
      </c>
      <c r="AQ20" s="1839">
        <f t="shared" si="4"/>
        <v>1</v>
      </c>
      <c r="AR20" s="1838">
        <f t="shared" si="14"/>
        <v>0</v>
      </c>
      <c r="AS20" s="1838">
        <f t="shared" si="15"/>
        <v>504</v>
      </c>
      <c r="AT20" s="1838">
        <f t="shared" si="16"/>
        <v>504</v>
      </c>
      <c r="AU20" s="1839">
        <f t="shared" si="5"/>
        <v>1</v>
      </c>
      <c r="AV20" s="1837" t="s">
        <v>1343</v>
      </c>
      <c r="AW20" s="1838">
        <f>[4]int.bevételek2016!L19</f>
        <v>62840</v>
      </c>
      <c r="AX20" s="1838">
        <f>'[5]int.bevételek RM V '!AT20</f>
        <v>66069</v>
      </c>
      <c r="AY20" s="1838">
        <v>63908</v>
      </c>
      <c r="AZ20" s="1839">
        <f t="shared" si="6"/>
        <v>0.96729177072454553</v>
      </c>
      <c r="BA20" s="1838"/>
      <c r="BB20" s="1838">
        <f>'[5]int.bevételek RM V '!AW20</f>
        <v>876</v>
      </c>
      <c r="BC20" s="1838">
        <v>875</v>
      </c>
      <c r="BD20" s="1839">
        <f t="shared" si="7"/>
        <v>0.99885844748858443</v>
      </c>
      <c r="BE20" s="1838">
        <f t="shared" si="8"/>
        <v>62840</v>
      </c>
      <c r="BF20" s="1838">
        <f t="shared" si="8"/>
        <v>66945</v>
      </c>
      <c r="BG20" s="1838">
        <f t="shared" si="8"/>
        <v>64783</v>
      </c>
      <c r="BH20" s="1839">
        <f t="shared" si="9"/>
        <v>0.9677048323250429</v>
      </c>
      <c r="BI20" s="1838">
        <f t="shared" si="10"/>
        <v>63385</v>
      </c>
      <c r="BJ20" s="1838">
        <f t="shared" si="11"/>
        <v>68624</v>
      </c>
      <c r="BK20" s="1838">
        <f t="shared" si="12"/>
        <v>66462</v>
      </c>
      <c r="BL20" s="1839">
        <f t="shared" si="13"/>
        <v>0.96849498717649807</v>
      </c>
      <c r="BM20" s="1824" t="e">
        <f>'[6]éves besz.kiadásai2016'!AQ20-'4 int bevétel'!AK20-'4 int bevétel'!#REF!-BC20</f>
        <v>#REF!</v>
      </c>
      <c r="BN20" s="1824" t="e">
        <f>'[6]éves besz.kiadásai2016'!AP20-'4 int bevétel'!AJ20-'4 int bevétel'!#REF!-BB20</f>
        <v>#REF!</v>
      </c>
    </row>
    <row r="21" spans="1:66" ht="57" customHeight="1" x14ac:dyDescent="0.6">
      <c r="A21" s="1837" t="s">
        <v>1110</v>
      </c>
      <c r="B21" s="1838">
        <f>[4]int.bevételek2016!B20</f>
        <v>633</v>
      </c>
      <c r="C21" s="1838">
        <f>'[5]int.bevételek RM V '!D21</f>
        <v>1169</v>
      </c>
      <c r="D21" s="1838">
        <v>1169</v>
      </c>
      <c r="E21" s="1839">
        <f t="shared" si="0"/>
        <v>1</v>
      </c>
      <c r="F21" s="1838"/>
      <c r="G21" s="1838"/>
      <c r="H21" s="1838"/>
      <c r="I21" s="1839"/>
      <c r="J21" s="1838"/>
      <c r="K21" s="1838"/>
      <c r="L21" s="1838"/>
      <c r="M21" s="1839"/>
      <c r="N21" s="1838"/>
      <c r="O21" s="1838"/>
      <c r="P21" s="1838"/>
      <c r="Q21" s="1839"/>
      <c r="R21" s="1838">
        <f t="shared" si="1"/>
        <v>633</v>
      </c>
      <c r="S21" s="1838">
        <f t="shared" si="1"/>
        <v>1169</v>
      </c>
      <c r="T21" s="1838">
        <f t="shared" si="1"/>
        <v>1169</v>
      </c>
      <c r="U21" s="1839">
        <f t="shared" si="2"/>
        <v>1</v>
      </c>
      <c r="V21" s="1837" t="s">
        <v>1110</v>
      </c>
      <c r="W21" s="1838"/>
      <c r="X21" s="1838"/>
      <c r="Y21" s="1838"/>
      <c r="Z21" s="1839"/>
      <c r="AA21" s="1838"/>
      <c r="AB21" s="1838"/>
      <c r="AC21" s="1838"/>
      <c r="AD21" s="1839"/>
      <c r="AE21" s="1838"/>
      <c r="AF21" s="1838"/>
      <c r="AG21" s="1838"/>
      <c r="AH21" s="1839"/>
      <c r="AI21" s="1838">
        <f t="shared" si="3"/>
        <v>0</v>
      </c>
      <c r="AJ21" s="1838">
        <f t="shared" si="3"/>
        <v>0</v>
      </c>
      <c r="AK21" s="1838">
        <f t="shared" si="3"/>
        <v>0</v>
      </c>
      <c r="AL21" s="1839"/>
      <c r="AM21" s="1837" t="s">
        <v>1110</v>
      </c>
      <c r="AN21" s="1838"/>
      <c r="AO21" s="1838">
        <f>'[5]int.bevételek RM V '!AJ21</f>
        <v>666</v>
      </c>
      <c r="AP21" s="1838">
        <v>667</v>
      </c>
      <c r="AQ21" s="1839">
        <f t="shared" si="4"/>
        <v>1.0015015015015014</v>
      </c>
      <c r="AR21" s="1838">
        <f t="shared" si="14"/>
        <v>0</v>
      </c>
      <c r="AS21" s="1838">
        <f t="shared" si="15"/>
        <v>666</v>
      </c>
      <c r="AT21" s="1838">
        <f t="shared" si="16"/>
        <v>667</v>
      </c>
      <c r="AU21" s="1839">
        <f t="shared" si="5"/>
        <v>1.0015015015015014</v>
      </c>
      <c r="AV21" s="1837" t="s">
        <v>1110</v>
      </c>
      <c r="AW21" s="1838">
        <f>[4]int.bevételek2016!L20</f>
        <v>49414</v>
      </c>
      <c r="AX21" s="1838">
        <f>'[5]int.bevételek RM V '!AT21</f>
        <v>53326</v>
      </c>
      <c r="AY21" s="1838">
        <v>50102</v>
      </c>
      <c r="AZ21" s="1839">
        <f t="shared" si="6"/>
        <v>0.93954168698196006</v>
      </c>
      <c r="BA21" s="1838"/>
      <c r="BB21" s="1838">
        <f>'[5]int.bevételek RM V '!AW21</f>
        <v>13358</v>
      </c>
      <c r="BC21" s="1838">
        <v>10903</v>
      </c>
      <c r="BD21" s="1839">
        <f t="shared" si="7"/>
        <v>0.8162150022458452</v>
      </c>
      <c r="BE21" s="1838">
        <f t="shared" si="8"/>
        <v>49414</v>
      </c>
      <c r="BF21" s="1838">
        <f t="shared" si="8"/>
        <v>66684</v>
      </c>
      <c r="BG21" s="1838">
        <f t="shared" si="8"/>
        <v>61005</v>
      </c>
      <c r="BH21" s="1839">
        <f t="shared" si="9"/>
        <v>0.91483714234299085</v>
      </c>
      <c r="BI21" s="1838">
        <f t="shared" si="10"/>
        <v>50047</v>
      </c>
      <c r="BJ21" s="1838">
        <f t="shared" si="11"/>
        <v>68519</v>
      </c>
      <c r="BK21" s="1838">
        <f t="shared" si="12"/>
        <v>62841</v>
      </c>
      <c r="BL21" s="1839">
        <f t="shared" si="13"/>
        <v>0.91713247420423527</v>
      </c>
      <c r="BM21" s="1824" t="e">
        <f>'[6]éves besz.kiadásai2016'!AQ21-'4 int bevétel'!AK21-'4 int bevétel'!#REF!-BC21</f>
        <v>#REF!</v>
      </c>
      <c r="BN21" s="1824" t="e">
        <f>'[6]éves besz.kiadásai2016'!AP21-'4 int bevétel'!AJ21-'4 int bevétel'!#REF!-BB21</f>
        <v>#REF!</v>
      </c>
    </row>
    <row r="22" spans="1:66" ht="57" customHeight="1" x14ac:dyDescent="0.6">
      <c r="A22" s="1837" t="s">
        <v>1344</v>
      </c>
      <c r="B22" s="1838">
        <f>[4]int.bevételek2016!B21</f>
        <v>0</v>
      </c>
      <c r="C22" s="1838">
        <f>'[5]int.bevételek RM V '!D22</f>
        <v>448</v>
      </c>
      <c r="D22" s="1838">
        <v>448</v>
      </c>
      <c r="E22" s="1839">
        <f t="shared" si="0"/>
        <v>1</v>
      </c>
      <c r="F22" s="1838"/>
      <c r="G22" s="1838"/>
      <c r="H22" s="1838"/>
      <c r="I22" s="1839"/>
      <c r="J22" s="1838"/>
      <c r="K22" s="1838"/>
      <c r="L22" s="1838"/>
      <c r="M22" s="1839"/>
      <c r="N22" s="1838"/>
      <c r="O22" s="1838"/>
      <c r="P22" s="1838"/>
      <c r="Q22" s="1839"/>
      <c r="R22" s="1838">
        <f t="shared" si="1"/>
        <v>0</v>
      </c>
      <c r="S22" s="1838">
        <f t="shared" si="1"/>
        <v>448</v>
      </c>
      <c r="T22" s="1838">
        <f t="shared" si="1"/>
        <v>448</v>
      </c>
      <c r="U22" s="1839">
        <f t="shared" si="2"/>
        <v>1</v>
      </c>
      <c r="V22" s="1837" t="s">
        <v>1344</v>
      </c>
      <c r="W22" s="1838"/>
      <c r="X22" s="1838"/>
      <c r="Y22" s="1838"/>
      <c r="Z22" s="1839"/>
      <c r="AA22" s="1838"/>
      <c r="AB22" s="1838"/>
      <c r="AC22" s="1838"/>
      <c r="AD22" s="1839"/>
      <c r="AE22" s="1838"/>
      <c r="AF22" s="1838"/>
      <c r="AG22" s="1838"/>
      <c r="AH22" s="1839"/>
      <c r="AI22" s="1838">
        <f t="shared" si="3"/>
        <v>0</v>
      </c>
      <c r="AJ22" s="1838">
        <f t="shared" si="3"/>
        <v>0</v>
      </c>
      <c r="AK22" s="1838">
        <f t="shared" si="3"/>
        <v>0</v>
      </c>
      <c r="AL22" s="1839"/>
      <c r="AM22" s="1837" t="s">
        <v>1344</v>
      </c>
      <c r="AN22" s="1838"/>
      <c r="AO22" s="1838">
        <f>'[5]int.bevételek RM V '!AJ22</f>
        <v>552</v>
      </c>
      <c r="AP22" s="1838">
        <v>552</v>
      </c>
      <c r="AQ22" s="1839">
        <f t="shared" si="4"/>
        <v>1</v>
      </c>
      <c r="AR22" s="1838">
        <f>AN22</f>
        <v>0</v>
      </c>
      <c r="AS22" s="1838">
        <f t="shared" si="15"/>
        <v>552</v>
      </c>
      <c r="AT22" s="1838">
        <f t="shared" si="16"/>
        <v>552</v>
      </c>
      <c r="AU22" s="1839">
        <f t="shared" si="5"/>
        <v>1</v>
      </c>
      <c r="AV22" s="1837" t="s">
        <v>1344</v>
      </c>
      <c r="AW22" s="1838">
        <f>[4]int.bevételek2016!L21</f>
        <v>67731</v>
      </c>
      <c r="AX22" s="1838">
        <f>'[5]int.bevételek RM V '!AT22</f>
        <v>70080</v>
      </c>
      <c r="AY22" s="1838">
        <v>66035</v>
      </c>
      <c r="AZ22" s="1839">
        <f t="shared" si="6"/>
        <v>0.94228025114155256</v>
      </c>
      <c r="BA22" s="1838"/>
      <c r="BB22" s="1838">
        <f>'[5]int.bevételek RM V '!AW22</f>
        <v>24384</v>
      </c>
      <c r="BC22" s="1838">
        <v>24121</v>
      </c>
      <c r="BD22" s="1839">
        <f t="shared" si="7"/>
        <v>0.98921423884514437</v>
      </c>
      <c r="BE22" s="1838">
        <f t="shared" si="8"/>
        <v>67731</v>
      </c>
      <c r="BF22" s="1838">
        <f t="shared" si="8"/>
        <v>94464</v>
      </c>
      <c r="BG22" s="1838">
        <f t="shared" si="8"/>
        <v>90156</v>
      </c>
      <c r="BH22" s="1839">
        <f t="shared" si="9"/>
        <v>0.95439532520325199</v>
      </c>
      <c r="BI22" s="1838">
        <f t="shared" si="10"/>
        <v>67731</v>
      </c>
      <c r="BJ22" s="1838">
        <f t="shared" si="11"/>
        <v>95464</v>
      </c>
      <c r="BK22" s="1838">
        <f t="shared" si="12"/>
        <v>91156</v>
      </c>
      <c r="BL22" s="1839">
        <f t="shared" si="13"/>
        <v>0.9548730411464007</v>
      </c>
      <c r="BM22" s="1824" t="e">
        <f>'[6]éves besz.kiadásai2016'!AQ22-'4 int bevétel'!AK22-'4 int bevétel'!#REF!-BC22</f>
        <v>#REF!</v>
      </c>
      <c r="BN22" s="1824" t="e">
        <f>'[6]éves besz.kiadásai2016'!AP22-'4 int bevétel'!AJ22-'4 int bevétel'!#REF!-BB22</f>
        <v>#REF!</v>
      </c>
    </row>
    <row r="23" spans="1:66" ht="57" customHeight="1" x14ac:dyDescent="0.6">
      <c r="A23" s="1837" t="s">
        <v>1345</v>
      </c>
      <c r="B23" s="1838">
        <f>[4]int.bevételek2016!B22</f>
        <v>0</v>
      </c>
      <c r="C23" s="1838">
        <f>'[5]int.bevételek RM V '!D23</f>
        <v>1125</v>
      </c>
      <c r="D23" s="1838">
        <v>1124</v>
      </c>
      <c r="E23" s="1839">
        <f t="shared" si="0"/>
        <v>0.99911111111111106</v>
      </c>
      <c r="F23" s="1838"/>
      <c r="G23" s="1838">
        <f>'[5]int.bevételek RM V '!G23</f>
        <v>200</v>
      </c>
      <c r="H23" s="1838">
        <v>200</v>
      </c>
      <c r="I23" s="1839">
        <f>H23/G23</f>
        <v>1</v>
      </c>
      <c r="J23" s="1838"/>
      <c r="K23" s="1838"/>
      <c r="L23" s="1838"/>
      <c r="M23" s="1839"/>
      <c r="N23" s="1838"/>
      <c r="O23" s="1838"/>
      <c r="P23" s="1838"/>
      <c r="Q23" s="1839"/>
      <c r="R23" s="1838">
        <f t="shared" si="1"/>
        <v>0</v>
      </c>
      <c r="S23" s="1838">
        <f t="shared" si="1"/>
        <v>1325</v>
      </c>
      <c r="T23" s="1838">
        <f t="shared" si="1"/>
        <v>1324</v>
      </c>
      <c r="U23" s="1839">
        <f t="shared" si="2"/>
        <v>0.99924528301886795</v>
      </c>
      <c r="V23" s="1837" t="s">
        <v>1345</v>
      </c>
      <c r="W23" s="1838"/>
      <c r="X23" s="1838"/>
      <c r="Y23" s="1838"/>
      <c r="Z23" s="1839"/>
      <c r="AA23" s="1838"/>
      <c r="AB23" s="1838"/>
      <c r="AC23" s="1838"/>
      <c r="AD23" s="1839"/>
      <c r="AE23" s="1838"/>
      <c r="AF23" s="1838"/>
      <c r="AG23" s="1838"/>
      <c r="AH23" s="1839"/>
      <c r="AI23" s="1838">
        <f t="shared" si="3"/>
        <v>0</v>
      </c>
      <c r="AJ23" s="1838">
        <f t="shared" si="3"/>
        <v>0</v>
      </c>
      <c r="AK23" s="1838">
        <f t="shared" si="3"/>
        <v>0</v>
      </c>
      <c r="AL23" s="1839"/>
      <c r="AM23" s="1837" t="s">
        <v>1345</v>
      </c>
      <c r="AN23" s="1838"/>
      <c r="AO23" s="1838">
        <f>'[5]int.bevételek RM V '!AJ23</f>
        <v>938</v>
      </c>
      <c r="AP23" s="1838">
        <v>938</v>
      </c>
      <c r="AQ23" s="1839">
        <f t="shared" si="4"/>
        <v>1</v>
      </c>
      <c r="AR23" s="1838">
        <f t="shared" si="14"/>
        <v>0</v>
      </c>
      <c r="AS23" s="1838">
        <f t="shared" si="15"/>
        <v>938</v>
      </c>
      <c r="AT23" s="1838">
        <f t="shared" si="16"/>
        <v>938</v>
      </c>
      <c r="AU23" s="1839">
        <f t="shared" si="5"/>
        <v>1</v>
      </c>
      <c r="AV23" s="1837" t="s">
        <v>1345</v>
      </c>
      <c r="AW23" s="1838">
        <f>[4]int.bevételek2016!L22</f>
        <v>80861</v>
      </c>
      <c r="AX23" s="1838">
        <f>'[5]int.bevételek RM V '!AT23</f>
        <v>91165</v>
      </c>
      <c r="AY23" s="1838">
        <v>86867</v>
      </c>
      <c r="AZ23" s="1839">
        <f t="shared" si="6"/>
        <v>0.95285471398014587</v>
      </c>
      <c r="BA23" s="1838"/>
      <c r="BB23" s="1838">
        <f>'[5]int.bevételek RM V '!AW23</f>
        <v>915</v>
      </c>
      <c r="BC23" s="1838">
        <v>914</v>
      </c>
      <c r="BD23" s="1839">
        <f t="shared" si="7"/>
        <v>0.99890710382513659</v>
      </c>
      <c r="BE23" s="1838">
        <f t="shared" si="8"/>
        <v>80861</v>
      </c>
      <c r="BF23" s="1838">
        <f t="shared" si="8"/>
        <v>92080</v>
      </c>
      <c r="BG23" s="1838">
        <f t="shared" si="8"/>
        <v>87781</v>
      </c>
      <c r="BH23" s="1839">
        <f t="shared" si="9"/>
        <v>0.95331233709817553</v>
      </c>
      <c r="BI23" s="1838">
        <f t="shared" si="10"/>
        <v>80861</v>
      </c>
      <c r="BJ23" s="1838">
        <f t="shared" si="11"/>
        <v>94343</v>
      </c>
      <c r="BK23" s="1838">
        <f t="shared" si="12"/>
        <v>90043</v>
      </c>
      <c r="BL23" s="1839">
        <f t="shared" si="13"/>
        <v>0.95442163170558492</v>
      </c>
      <c r="BM23" s="1824" t="e">
        <f>'[6]éves besz.kiadásai2016'!AQ23-'4 int bevétel'!AK23-'4 int bevétel'!#REF!-BC23</f>
        <v>#REF!</v>
      </c>
      <c r="BN23" s="1824" t="e">
        <f>'[6]éves besz.kiadásai2016'!AP23-'4 int bevétel'!AJ23-'4 int bevétel'!#REF!-BB23</f>
        <v>#REF!</v>
      </c>
    </row>
    <row r="24" spans="1:66" ht="57" customHeight="1" x14ac:dyDescent="0.6">
      <c r="A24" s="1837" t="s">
        <v>1109</v>
      </c>
      <c r="B24" s="1838">
        <f>[4]int.bevételek2016!B23</f>
        <v>1559</v>
      </c>
      <c r="C24" s="1838">
        <f>'[5]int.bevételek RM V '!D24</f>
        <v>2850</v>
      </c>
      <c r="D24" s="1838">
        <v>2850</v>
      </c>
      <c r="E24" s="1839">
        <f t="shared" si="0"/>
        <v>1</v>
      </c>
      <c r="F24" s="1838"/>
      <c r="G24" s="1838"/>
      <c r="H24" s="1838"/>
      <c r="I24" s="1839"/>
      <c r="J24" s="1838"/>
      <c r="K24" s="1838">
        <f>'[5]int.bevételek RM V '!J24</f>
        <v>2353</v>
      </c>
      <c r="L24" s="1838">
        <v>2353</v>
      </c>
      <c r="M24" s="1839">
        <f>L24/K24</f>
        <v>1</v>
      </c>
      <c r="N24" s="1838"/>
      <c r="O24" s="1838"/>
      <c r="P24" s="1838"/>
      <c r="Q24" s="1839"/>
      <c r="R24" s="1838">
        <f t="shared" si="1"/>
        <v>1559</v>
      </c>
      <c r="S24" s="1838">
        <f t="shared" si="1"/>
        <v>5203</v>
      </c>
      <c r="T24" s="1838">
        <f t="shared" si="1"/>
        <v>5203</v>
      </c>
      <c r="U24" s="1839">
        <f t="shared" si="2"/>
        <v>1</v>
      </c>
      <c r="V24" s="1837" t="s">
        <v>1109</v>
      </c>
      <c r="W24" s="1838"/>
      <c r="X24" s="1838"/>
      <c r="Y24" s="1838"/>
      <c r="Z24" s="1839"/>
      <c r="AA24" s="1838"/>
      <c r="AB24" s="1838"/>
      <c r="AC24" s="1838"/>
      <c r="AD24" s="1839"/>
      <c r="AE24" s="1838"/>
      <c r="AF24" s="1838"/>
      <c r="AG24" s="1838"/>
      <c r="AH24" s="1839"/>
      <c r="AI24" s="1838">
        <f t="shared" si="3"/>
        <v>0</v>
      </c>
      <c r="AJ24" s="1838">
        <f t="shared" si="3"/>
        <v>0</v>
      </c>
      <c r="AK24" s="1838">
        <f t="shared" si="3"/>
        <v>0</v>
      </c>
      <c r="AL24" s="1839"/>
      <c r="AM24" s="1837" t="s">
        <v>1109</v>
      </c>
      <c r="AN24" s="1838"/>
      <c r="AO24" s="1838">
        <f>'[5]int.bevételek RM V '!AJ24</f>
        <v>1325</v>
      </c>
      <c r="AP24" s="1838">
        <v>1325</v>
      </c>
      <c r="AQ24" s="1839">
        <f t="shared" si="4"/>
        <v>1</v>
      </c>
      <c r="AR24" s="1838">
        <f t="shared" si="14"/>
        <v>0</v>
      </c>
      <c r="AS24" s="1838">
        <f t="shared" si="15"/>
        <v>1325</v>
      </c>
      <c r="AT24" s="1838">
        <f t="shared" si="16"/>
        <v>1325</v>
      </c>
      <c r="AU24" s="1839">
        <f t="shared" si="5"/>
        <v>1</v>
      </c>
      <c r="AV24" s="1837" t="s">
        <v>1109</v>
      </c>
      <c r="AW24" s="1838">
        <f>[4]int.bevételek2016!L23</f>
        <v>111480</v>
      </c>
      <c r="AX24" s="1838">
        <f>'[5]int.bevételek RM V '!AT24</f>
        <v>117172</v>
      </c>
      <c r="AY24" s="1838">
        <v>112764</v>
      </c>
      <c r="AZ24" s="1839">
        <f t="shared" si="6"/>
        <v>0.96238009080667741</v>
      </c>
      <c r="BA24" s="1838"/>
      <c r="BB24" s="1838">
        <f>'[5]int.bevételek RM V '!AW24</f>
        <v>1855</v>
      </c>
      <c r="BC24" s="1838">
        <v>1797</v>
      </c>
      <c r="BD24" s="1839">
        <f t="shared" si="7"/>
        <v>0.96873315363881407</v>
      </c>
      <c r="BE24" s="1838">
        <f t="shared" si="8"/>
        <v>111480</v>
      </c>
      <c r="BF24" s="1838">
        <f t="shared" si="8"/>
        <v>119027</v>
      </c>
      <c r="BG24" s="1838">
        <f t="shared" si="8"/>
        <v>114561</v>
      </c>
      <c r="BH24" s="1839">
        <f t="shared" si="9"/>
        <v>0.96247910138035908</v>
      </c>
      <c r="BI24" s="1838">
        <f t="shared" si="10"/>
        <v>113039</v>
      </c>
      <c r="BJ24" s="1838">
        <f t="shared" si="11"/>
        <v>125555</v>
      </c>
      <c r="BK24" s="1838">
        <f t="shared" si="12"/>
        <v>121089</v>
      </c>
      <c r="BL24" s="1839">
        <f t="shared" si="13"/>
        <v>0.96442993110588981</v>
      </c>
      <c r="BM24" s="1824" t="e">
        <f>'[6]éves besz.kiadásai2016'!AQ24-'4 int bevétel'!AK24-'4 int bevétel'!#REF!-BC24</f>
        <v>#REF!</v>
      </c>
      <c r="BN24" s="1824" t="e">
        <f>'[6]éves besz.kiadásai2016'!AP24-'4 int bevétel'!AJ24-'4 int bevétel'!#REF!-BB24</f>
        <v>#REF!</v>
      </c>
    </row>
    <row r="25" spans="1:66" ht="57" customHeight="1" x14ac:dyDescent="0.6">
      <c r="A25" s="1837" t="s">
        <v>1107</v>
      </c>
      <c r="B25" s="1838">
        <f>[4]int.bevételek2016!B24</f>
        <v>952</v>
      </c>
      <c r="C25" s="1838">
        <f>'[5]int.bevételek RM V '!D25</f>
        <v>1941</v>
      </c>
      <c r="D25" s="1838">
        <v>1941</v>
      </c>
      <c r="E25" s="1839">
        <f t="shared" si="0"/>
        <v>1</v>
      </c>
      <c r="F25" s="1838"/>
      <c r="G25" s="1838"/>
      <c r="H25" s="1838"/>
      <c r="I25" s="1839"/>
      <c r="J25" s="1838"/>
      <c r="K25" s="1838"/>
      <c r="L25" s="1838"/>
      <c r="M25" s="1839"/>
      <c r="N25" s="1838"/>
      <c r="O25" s="1838"/>
      <c r="P25" s="1838"/>
      <c r="Q25" s="1839"/>
      <c r="R25" s="1838">
        <f t="shared" si="1"/>
        <v>952</v>
      </c>
      <c r="S25" s="1838">
        <f t="shared" si="1"/>
        <v>1941</v>
      </c>
      <c r="T25" s="1838">
        <f t="shared" si="1"/>
        <v>1941</v>
      </c>
      <c r="U25" s="1839">
        <f t="shared" si="2"/>
        <v>1</v>
      </c>
      <c r="V25" s="1837" t="s">
        <v>1107</v>
      </c>
      <c r="W25" s="1838"/>
      <c r="X25" s="1838"/>
      <c r="Y25" s="1838"/>
      <c r="Z25" s="1839"/>
      <c r="AA25" s="1838"/>
      <c r="AB25" s="1838"/>
      <c r="AC25" s="1838"/>
      <c r="AD25" s="1839"/>
      <c r="AE25" s="1838"/>
      <c r="AF25" s="1838"/>
      <c r="AG25" s="1838"/>
      <c r="AH25" s="1839"/>
      <c r="AI25" s="1838">
        <f t="shared" si="3"/>
        <v>0</v>
      </c>
      <c r="AJ25" s="1838">
        <f t="shared" si="3"/>
        <v>0</v>
      </c>
      <c r="AK25" s="1838">
        <f t="shared" si="3"/>
        <v>0</v>
      </c>
      <c r="AL25" s="1839"/>
      <c r="AM25" s="1837" t="s">
        <v>1107</v>
      </c>
      <c r="AN25" s="1838"/>
      <c r="AO25" s="1838">
        <f>'[5]int.bevételek RM V '!AJ25</f>
        <v>729</v>
      </c>
      <c r="AP25" s="1838">
        <v>728</v>
      </c>
      <c r="AQ25" s="1839">
        <f t="shared" si="4"/>
        <v>0.99862825788751719</v>
      </c>
      <c r="AR25" s="1838">
        <f t="shared" si="14"/>
        <v>0</v>
      </c>
      <c r="AS25" s="1838">
        <f t="shared" si="15"/>
        <v>729</v>
      </c>
      <c r="AT25" s="1838">
        <f t="shared" si="16"/>
        <v>728</v>
      </c>
      <c r="AU25" s="1839">
        <f t="shared" si="5"/>
        <v>0.99862825788751719</v>
      </c>
      <c r="AV25" s="1837" t="s">
        <v>1107</v>
      </c>
      <c r="AW25" s="1838">
        <f>[4]int.bevételek2016!L24</f>
        <v>92545</v>
      </c>
      <c r="AX25" s="1838">
        <f>'[5]int.bevételek RM V '!AT25</f>
        <v>98821</v>
      </c>
      <c r="AY25" s="1838">
        <v>91105</v>
      </c>
      <c r="AZ25" s="1839">
        <f t="shared" si="6"/>
        <v>0.92191943008065091</v>
      </c>
      <c r="BA25" s="1838"/>
      <c r="BB25" s="1838">
        <f>'[5]int.bevételek RM V '!AW25</f>
        <v>1135</v>
      </c>
      <c r="BC25" s="1838">
        <v>1111</v>
      </c>
      <c r="BD25" s="1839">
        <f t="shared" si="7"/>
        <v>0.97885462555066083</v>
      </c>
      <c r="BE25" s="1838">
        <f t="shared" si="8"/>
        <v>92545</v>
      </c>
      <c r="BF25" s="1838">
        <f t="shared" si="8"/>
        <v>99956</v>
      </c>
      <c r="BG25" s="1838">
        <f t="shared" si="8"/>
        <v>92216</v>
      </c>
      <c r="BH25" s="1839">
        <f t="shared" si="9"/>
        <v>0.92256592900876389</v>
      </c>
      <c r="BI25" s="1838">
        <f t="shared" si="10"/>
        <v>93497</v>
      </c>
      <c r="BJ25" s="1838">
        <f t="shared" si="11"/>
        <v>102626</v>
      </c>
      <c r="BK25" s="1838">
        <f t="shared" si="12"/>
        <v>94885</v>
      </c>
      <c r="BL25" s="1839">
        <f t="shared" si="13"/>
        <v>0.92457077153937595</v>
      </c>
      <c r="BM25" s="1824" t="e">
        <f>'[6]éves besz.kiadásai2016'!AQ25-'4 int bevétel'!AK25-'4 int bevétel'!#REF!-BC25</f>
        <v>#REF!</v>
      </c>
      <c r="BN25" s="1824" t="e">
        <f>'[6]éves besz.kiadásai2016'!AP25-'4 int bevétel'!AJ25-'4 int bevétel'!#REF!-BB25</f>
        <v>#REF!</v>
      </c>
    </row>
    <row r="26" spans="1:66" ht="57" customHeight="1" x14ac:dyDescent="0.6">
      <c r="A26" s="1837" t="s">
        <v>1346</v>
      </c>
      <c r="B26" s="1838">
        <f>[4]int.bevételek2016!B25</f>
        <v>753</v>
      </c>
      <c r="C26" s="1838">
        <f>'[5]int.bevételek RM V '!D26</f>
        <v>1601</v>
      </c>
      <c r="D26" s="1838">
        <v>1600</v>
      </c>
      <c r="E26" s="1839">
        <f t="shared" si="0"/>
        <v>0.99937539038101186</v>
      </c>
      <c r="F26" s="1838"/>
      <c r="G26" s="1838"/>
      <c r="H26" s="1838"/>
      <c r="I26" s="1839"/>
      <c r="J26" s="1838"/>
      <c r="K26" s="1838"/>
      <c r="L26" s="1838"/>
      <c r="M26" s="1839"/>
      <c r="N26" s="1838"/>
      <c r="O26" s="1838"/>
      <c r="P26" s="1838"/>
      <c r="Q26" s="1839"/>
      <c r="R26" s="1838">
        <f t="shared" si="1"/>
        <v>753</v>
      </c>
      <c r="S26" s="1838">
        <f t="shared" si="1"/>
        <v>1601</v>
      </c>
      <c r="T26" s="1838">
        <f t="shared" si="1"/>
        <v>1600</v>
      </c>
      <c r="U26" s="1839">
        <f t="shared" si="2"/>
        <v>0.99937539038101186</v>
      </c>
      <c r="V26" s="1837" t="s">
        <v>1346</v>
      </c>
      <c r="W26" s="1838"/>
      <c r="X26" s="1838"/>
      <c r="Y26" s="1838"/>
      <c r="Z26" s="1839"/>
      <c r="AA26" s="1838"/>
      <c r="AB26" s="1838"/>
      <c r="AC26" s="1838"/>
      <c r="AD26" s="1839"/>
      <c r="AE26" s="1838"/>
      <c r="AF26" s="1838"/>
      <c r="AG26" s="1838"/>
      <c r="AH26" s="1839"/>
      <c r="AI26" s="1838">
        <f t="shared" si="3"/>
        <v>0</v>
      </c>
      <c r="AJ26" s="1838">
        <f t="shared" si="3"/>
        <v>0</v>
      </c>
      <c r="AK26" s="1838">
        <f t="shared" si="3"/>
        <v>0</v>
      </c>
      <c r="AL26" s="1839"/>
      <c r="AM26" s="1837" t="s">
        <v>1346</v>
      </c>
      <c r="AN26" s="1838"/>
      <c r="AO26" s="1838">
        <f>'[5]int.bevételek RM V '!AJ26</f>
        <v>609</v>
      </c>
      <c r="AP26" s="1838">
        <v>609</v>
      </c>
      <c r="AQ26" s="1839">
        <f t="shared" si="4"/>
        <v>1</v>
      </c>
      <c r="AR26" s="1838">
        <f t="shared" si="14"/>
        <v>0</v>
      </c>
      <c r="AS26" s="1838">
        <f t="shared" si="15"/>
        <v>609</v>
      </c>
      <c r="AT26" s="1838">
        <f t="shared" si="16"/>
        <v>609</v>
      </c>
      <c r="AU26" s="1839">
        <f t="shared" si="5"/>
        <v>1</v>
      </c>
      <c r="AV26" s="1837" t="s">
        <v>1346</v>
      </c>
      <c r="AW26" s="1838">
        <f>[4]int.bevételek2016!L25</f>
        <v>60725</v>
      </c>
      <c r="AX26" s="1838">
        <f>'[5]int.bevételek RM V '!AT26</f>
        <v>65478</v>
      </c>
      <c r="AY26" s="1838">
        <v>62801</v>
      </c>
      <c r="AZ26" s="1839">
        <f t="shared" si="6"/>
        <v>0.95911603897492292</v>
      </c>
      <c r="BA26" s="1838"/>
      <c r="BB26" s="1838">
        <f>'[5]int.bevételek RM V '!AW26</f>
        <v>3990</v>
      </c>
      <c r="BC26" s="1838">
        <v>3702</v>
      </c>
      <c r="BD26" s="1839">
        <f t="shared" si="7"/>
        <v>0.92781954887218043</v>
      </c>
      <c r="BE26" s="1838">
        <f t="shared" si="8"/>
        <v>60725</v>
      </c>
      <c r="BF26" s="1838">
        <f t="shared" si="8"/>
        <v>69468</v>
      </c>
      <c r="BG26" s="1838">
        <f t="shared" si="8"/>
        <v>66503</v>
      </c>
      <c r="BH26" s="1839">
        <f t="shared" si="9"/>
        <v>0.9573184775724074</v>
      </c>
      <c r="BI26" s="1838">
        <f t="shared" si="10"/>
        <v>61478</v>
      </c>
      <c r="BJ26" s="1838">
        <f t="shared" si="11"/>
        <v>71678</v>
      </c>
      <c r="BK26" s="1838">
        <f t="shared" si="12"/>
        <v>68712</v>
      </c>
      <c r="BL26" s="1839">
        <f t="shared" si="13"/>
        <v>0.95862049722369491</v>
      </c>
      <c r="BM26" s="1824" t="e">
        <f>'[6]éves besz.kiadásai2016'!AQ26-'4 int bevétel'!AK26-'4 int bevétel'!#REF!-BC26</f>
        <v>#REF!</v>
      </c>
      <c r="BN26" s="1824" t="e">
        <f>'[6]éves besz.kiadásai2016'!AP26-'4 int bevétel'!AJ26-'4 int bevétel'!#REF!-BB26</f>
        <v>#REF!</v>
      </c>
    </row>
    <row r="27" spans="1:66" ht="57" customHeight="1" thickBot="1" x14ac:dyDescent="0.65">
      <c r="A27" s="1840" t="s">
        <v>1347</v>
      </c>
      <c r="B27" s="1841">
        <f>[4]int.bevételek2016!B26</f>
        <v>637</v>
      </c>
      <c r="C27" s="1838">
        <f>'[5]int.bevételek RM V '!D27</f>
        <v>941</v>
      </c>
      <c r="D27" s="1841">
        <v>941</v>
      </c>
      <c r="E27" s="1842">
        <f t="shared" si="0"/>
        <v>1</v>
      </c>
      <c r="F27" s="1841"/>
      <c r="G27" s="1838"/>
      <c r="H27" s="1841"/>
      <c r="I27" s="1842"/>
      <c r="J27" s="1841"/>
      <c r="K27" s="1838">
        <f>'[5]int.bevételek RM V '!J27</f>
        <v>200</v>
      </c>
      <c r="L27" s="1841">
        <v>200</v>
      </c>
      <c r="M27" s="1842">
        <f>L27/K27</f>
        <v>1</v>
      </c>
      <c r="N27" s="1841"/>
      <c r="O27" s="1841"/>
      <c r="P27" s="1838"/>
      <c r="Q27" s="1842"/>
      <c r="R27" s="1838">
        <f t="shared" si="1"/>
        <v>637</v>
      </c>
      <c r="S27" s="1838">
        <f t="shared" si="1"/>
        <v>1141</v>
      </c>
      <c r="T27" s="1838">
        <f t="shared" si="1"/>
        <v>1141</v>
      </c>
      <c r="U27" s="1842">
        <f t="shared" si="2"/>
        <v>1</v>
      </c>
      <c r="V27" s="1840" t="s">
        <v>1347</v>
      </c>
      <c r="W27" s="1841"/>
      <c r="X27" s="1841"/>
      <c r="Y27" s="1841"/>
      <c r="Z27" s="1842"/>
      <c r="AA27" s="1841"/>
      <c r="AB27" s="1841"/>
      <c r="AC27" s="1838"/>
      <c r="AD27" s="1842"/>
      <c r="AE27" s="1841"/>
      <c r="AF27" s="1841"/>
      <c r="AG27" s="1841"/>
      <c r="AH27" s="1843"/>
      <c r="AI27" s="1838">
        <f t="shared" si="3"/>
        <v>0</v>
      </c>
      <c r="AJ27" s="1838">
        <f t="shared" si="3"/>
        <v>0</v>
      </c>
      <c r="AK27" s="1838">
        <f t="shared" si="3"/>
        <v>0</v>
      </c>
      <c r="AL27" s="1842"/>
      <c r="AM27" s="1840" t="s">
        <v>1347</v>
      </c>
      <c r="AN27" s="1841"/>
      <c r="AO27" s="1838">
        <f>'[5]int.bevételek RM V '!AJ27</f>
        <v>462</v>
      </c>
      <c r="AP27" s="1841">
        <v>462</v>
      </c>
      <c r="AQ27" s="1842">
        <f t="shared" si="4"/>
        <v>1</v>
      </c>
      <c r="AR27" s="1838">
        <f t="shared" si="14"/>
        <v>0</v>
      </c>
      <c r="AS27" s="1838">
        <f t="shared" si="15"/>
        <v>462</v>
      </c>
      <c r="AT27" s="1838">
        <f t="shared" si="16"/>
        <v>462</v>
      </c>
      <c r="AU27" s="1842">
        <f t="shared" si="5"/>
        <v>1</v>
      </c>
      <c r="AV27" s="1840" t="s">
        <v>1347</v>
      </c>
      <c r="AW27" s="1841">
        <f>[4]int.bevételek2016!L26</f>
        <v>47108</v>
      </c>
      <c r="AX27" s="1838">
        <f>'[5]int.bevételek RM V '!AT27</f>
        <v>52104</v>
      </c>
      <c r="AY27" s="1841">
        <v>49935</v>
      </c>
      <c r="AZ27" s="1842">
        <f t="shared" si="6"/>
        <v>0.95837171810225708</v>
      </c>
      <c r="BA27" s="1841"/>
      <c r="BB27" s="1838">
        <f>'[5]int.bevételek RM V '!AW27</f>
        <v>2195</v>
      </c>
      <c r="BC27" s="1841">
        <v>2102</v>
      </c>
      <c r="BD27" s="1842">
        <f>BC27/BB27</f>
        <v>0.957630979498861</v>
      </c>
      <c r="BE27" s="1838">
        <f t="shared" si="8"/>
        <v>47108</v>
      </c>
      <c r="BF27" s="1838">
        <f t="shared" si="8"/>
        <v>54299</v>
      </c>
      <c r="BG27" s="1838">
        <f t="shared" si="8"/>
        <v>52037</v>
      </c>
      <c r="BH27" s="1842">
        <f t="shared" si="9"/>
        <v>0.95834177424998623</v>
      </c>
      <c r="BI27" s="1838">
        <f t="shared" si="10"/>
        <v>47745</v>
      </c>
      <c r="BJ27" s="1838">
        <f t="shared" si="11"/>
        <v>55902</v>
      </c>
      <c r="BK27" s="1838">
        <f t="shared" si="12"/>
        <v>53640</v>
      </c>
      <c r="BL27" s="1842">
        <f t="shared" si="13"/>
        <v>0.95953633143715789</v>
      </c>
      <c r="BM27" s="1824" t="e">
        <f>'[6]éves besz.kiadásai2016'!AQ27-'4 int bevétel'!AK27-'4 int bevétel'!#REF!-BC27</f>
        <v>#REF!</v>
      </c>
      <c r="BN27" s="1824" t="e">
        <f>'[6]éves besz.kiadásai2016'!AP27-'4 int bevétel'!AJ27-'4 int bevétel'!#REF!-BB27</f>
        <v>#REF!</v>
      </c>
    </row>
    <row r="28" spans="1:66" ht="57" customHeight="1" thickBot="1" x14ac:dyDescent="0.65">
      <c r="A28" s="1844" t="s">
        <v>1113</v>
      </c>
      <c r="B28" s="1845">
        <f>SUM(B10:B27)</f>
        <v>15078</v>
      </c>
      <c r="C28" s="1845">
        <f>SUM(C10:C27)</f>
        <v>29057</v>
      </c>
      <c r="D28" s="1845">
        <f>SUM(D10:D27)</f>
        <v>29052</v>
      </c>
      <c r="E28" s="1846">
        <f t="shared" si="0"/>
        <v>0.99982792442440716</v>
      </c>
      <c r="F28" s="1845">
        <f>SUM(F10:F27)</f>
        <v>0</v>
      </c>
      <c r="G28" s="1845">
        <f>SUM(G10:G27)</f>
        <v>444</v>
      </c>
      <c r="H28" s="1845">
        <f>SUM(H10:H27)</f>
        <v>444</v>
      </c>
      <c r="I28" s="1846">
        <f>H28/G28</f>
        <v>1</v>
      </c>
      <c r="J28" s="1845">
        <f>SUM(J10:J27)</f>
        <v>0</v>
      </c>
      <c r="K28" s="1845">
        <f>SUM(K10:K27)</f>
        <v>2783</v>
      </c>
      <c r="L28" s="1845">
        <f>SUM(L10:L27)</f>
        <v>2783</v>
      </c>
      <c r="M28" s="1846">
        <f>L28/K28</f>
        <v>1</v>
      </c>
      <c r="N28" s="1845">
        <f>SUM(N10:N27)</f>
        <v>0</v>
      </c>
      <c r="O28" s="1845">
        <f>SUM(O10:O27)</f>
        <v>0</v>
      </c>
      <c r="P28" s="1845">
        <f>SUM(P10:P27)</f>
        <v>0</v>
      </c>
      <c r="Q28" s="1846"/>
      <c r="R28" s="1845">
        <f>SUM(R10:R27)</f>
        <v>15078</v>
      </c>
      <c r="S28" s="1845">
        <f>SUM(S10:S27)</f>
        <v>32284</v>
      </c>
      <c r="T28" s="1845">
        <f>SUM(T10:T27)</f>
        <v>32279</v>
      </c>
      <c r="U28" s="1846">
        <f t="shared" si="2"/>
        <v>0.99984512451988605</v>
      </c>
      <c r="V28" s="1844" t="s">
        <v>1113</v>
      </c>
      <c r="W28" s="1845">
        <f>SUM(W10:W27)</f>
        <v>0</v>
      </c>
      <c r="X28" s="1845">
        <f>SUM(X10:X27)</f>
        <v>0</v>
      </c>
      <c r="Y28" s="1845">
        <f>SUM(Y10:Y27)</f>
        <v>0</v>
      </c>
      <c r="Z28" s="1846"/>
      <c r="AA28" s="1845">
        <f>SUM(AA10:AA27)</f>
        <v>0</v>
      </c>
      <c r="AB28" s="1845">
        <f>SUM(AB10:AB27)</f>
        <v>0</v>
      </c>
      <c r="AC28" s="1845">
        <f>SUM(AC10:AC27)</f>
        <v>0</v>
      </c>
      <c r="AD28" s="1846"/>
      <c r="AE28" s="1845">
        <f>SUM(AE10:AE27)</f>
        <v>0</v>
      </c>
      <c r="AF28" s="1845">
        <f>SUM(AF10:AF27)</f>
        <v>0</v>
      </c>
      <c r="AG28" s="1845">
        <f>SUM(AG10:AG27)</f>
        <v>0</v>
      </c>
      <c r="AH28" s="1846"/>
      <c r="AI28" s="1845">
        <f>SUM(AI10:AI27)</f>
        <v>0</v>
      </c>
      <c r="AJ28" s="1845">
        <f>SUM(AJ10:AJ27)</f>
        <v>0</v>
      </c>
      <c r="AK28" s="1845">
        <f>SUM(AK10:AK27)</f>
        <v>0</v>
      </c>
      <c r="AL28" s="1846"/>
      <c r="AM28" s="1844" t="s">
        <v>1113</v>
      </c>
      <c r="AN28" s="1845">
        <f>SUM(AN10:AN27)</f>
        <v>0</v>
      </c>
      <c r="AO28" s="1845">
        <f>SUM(AO10:AO27)</f>
        <v>14385</v>
      </c>
      <c r="AP28" s="1845">
        <f>SUM(AP10:AP27)</f>
        <v>14385</v>
      </c>
      <c r="AQ28" s="1846">
        <f t="shared" si="4"/>
        <v>1</v>
      </c>
      <c r="AR28" s="1845">
        <f>SUM(AR10:AR27)</f>
        <v>0</v>
      </c>
      <c r="AS28" s="1845">
        <f>SUM(AS10:AS27)</f>
        <v>14385</v>
      </c>
      <c r="AT28" s="1845">
        <f>SUM(AT10:AT27)</f>
        <v>14385</v>
      </c>
      <c r="AU28" s="1846">
        <f t="shared" si="5"/>
        <v>1</v>
      </c>
      <c r="AV28" s="1844" t="s">
        <v>1113</v>
      </c>
      <c r="AW28" s="1845">
        <f>SUM(AW10:AW27)</f>
        <v>1557878</v>
      </c>
      <c r="AX28" s="1845">
        <f>SUM(AX10:AX27)</f>
        <v>1633540</v>
      </c>
      <c r="AY28" s="1845">
        <f>SUM(AY10:AY27)</f>
        <v>1562319</v>
      </c>
      <c r="AZ28" s="1846">
        <f t="shared" si="6"/>
        <v>0.95640082275303939</v>
      </c>
      <c r="BA28" s="1845">
        <f>SUM(BA10:BA27)</f>
        <v>0</v>
      </c>
      <c r="BB28" s="1845">
        <f>SUM(BB10:BB27)</f>
        <v>82584</v>
      </c>
      <c r="BC28" s="1845">
        <f>SUM(BC10:BC27)</f>
        <v>74335</v>
      </c>
      <c r="BD28" s="1846">
        <f>BC28/BB28</f>
        <v>0.90011382350092028</v>
      </c>
      <c r="BE28" s="1845">
        <f>SUM(BE10:BE27)</f>
        <v>1557878</v>
      </c>
      <c r="BF28" s="1845">
        <f>SUM(BF10:BF27)</f>
        <v>1716124</v>
      </c>
      <c r="BG28" s="1845">
        <f>SUM(BG10:BG27)</f>
        <v>1636654</v>
      </c>
      <c r="BH28" s="1846">
        <f t="shared" si="9"/>
        <v>0.95369215744316849</v>
      </c>
      <c r="BI28" s="1845">
        <f>SUM(BI10:BI27)</f>
        <v>1572956</v>
      </c>
      <c r="BJ28" s="1845">
        <f>SUM(BJ10:BJ27)</f>
        <v>1762793</v>
      </c>
      <c r="BK28" s="1845">
        <f>SUM(BK10:BK27)</f>
        <v>1683318</v>
      </c>
      <c r="BL28" s="1846">
        <f t="shared" si="13"/>
        <v>0.95491529635073436</v>
      </c>
      <c r="BM28" s="1824" t="e">
        <f>'[6]éves besz.kiadásai2016'!AQ28-'4 int bevétel'!AK28-'4 int bevétel'!#REF!-BC28</f>
        <v>#REF!</v>
      </c>
    </row>
    <row r="29" spans="1:66" ht="57" customHeight="1" thickBot="1" x14ac:dyDescent="0.65">
      <c r="A29" s="1844" t="s">
        <v>270</v>
      </c>
      <c r="B29" s="1845">
        <f>[4]int.bevételek2016!B28</f>
        <v>455966</v>
      </c>
      <c r="C29" s="1838">
        <f>'[5]int.bevételek RM V '!D29</f>
        <v>458466</v>
      </c>
      <c r="D29" s="1845">
        <v>458466</v>
      </c>
      <c r="E29" s="1846">
        <f t="shared" si="0"/>
        <v>1</v>
      </c>
      <c r="F29" s="1845"/>
      <c r="G29" s="1838">
        <f>'[5]int.bevételek RM V '!G29</f>
        <v>14877</v>
      </c>
      <c r="H29" s="1845">
        <v>14877</v>
      </c>
      <c r="I29" s="1846">
        <f>H29/G29</f>
        <v>1</v>
      </c>
      <c r="J29" s="1845"/>
      <c r="K29" s="1838"/>
      <c r="L29" s="1845"/>
      <c r="M29" s="1846"/>
      <c r="N29" s="1845"/>
      <c r="O29" s="1845"/>
      <c r="P29" s="1845"/>
      <c r="Q29" s="1846"/>
      <c r="R29" s="1838">
        <f>B29+F29+J29+N29</f>
        <v>455966</v>
      </c>
      <c r="S29" s="1838">
        <f>C29+G29+K29+O29</f>
        <v>473343</v>
      </c>
      <c r="T29" s="1838">
        <f>D29+H29+L29+P29</f>
        <v>473343</v>
      </c>
      <c r="U29" s="1846">
        <f t="shared" si="2"/>
        <v>1</v>
      </c>
      <c r="V29" s="1844" t="s">
        <v>270</v>
      </c>
      <c r="W29" s="1845"/>
      <c r="X29" s="1845">
        <f>'[5]int.bevételek RM V '!T29</f>
        <v>50</v>
      </c>
      <c r="Y29" s="1845">
        <v>50</v>
      </c>
      <c r="Z29" s="1846">
        <f>Y29/X29</f>
        <v>1</v>
      </c>
      <c r="AA29" s="1845"/>
      <c r="AB29" s="1845"/>
      <c r="AC29" s="1845"/>
      <c r="AD29" s="1846"/>
      <c r="AE29" s="1845"/>
      <c r="AF29" s="1845"/>
      <c r="AG29" s="1845"/>
      <c r="AH29" s="1846"/>
      <c r="AI29" s="1838">
        <f>W29+AA29+AE29</f>
        <v>0</v>
      </c>
      <c r="AJ29" s="1838">
        <f>X29+AB29+AF29</f>
        <v>50</v>
      </c>
      <c r="AK29" s="1838">
        <f>Y29+AC29+AG29</f>
        <v>50</v>
      </c>
      <c r="AL29" s="1846">
        <f>AK29/AJ29</f>
        <v>1</v>
      </c>
      <c r="AM29" s="1844" t="s">
        <v>270</v>
      </c>
      <c r="AN29" s="1845"/>
      <c r="AO29" s="1838">
        <f>'[5]int.bevételek RM V '!AJ29</f>
        <v>3069</v>
      </c>
      <c r="AP29" s="1845">
        <v>3069</v>
      </c>
      <c r="AQ29" s="1846">
        <f t="shared" si="4"/>
        <v>1</v>
      </c>
      <c r="AR29" s="1838">
        <f>AN29</f>
        <v>0</v>
      </c>
      <c r="AS29" s="1838">
        <f>AO29</f>
        <v>3069</v>
      </c>
      <c r="AT29" s="1838">
        <f>AP29</f>
        <v>3069</v>
      </c>
      <c r="AU29" s="1846">
        <f t="shared" si="5"/>
        <v>1</v>
      </c>
      <c r="AV29" s="1844" t="s">
        <v>270</v>
      </c>
      <c r="AW29" s="1845">
        <f>[4]int.bevételek2016!L28</f>
        <v>1434761</v>
      </c>
      <c r="AX29" s="1838">
        <f>'[5]int.bevételek RM V '!AT29</f>
        <v>1535330</v>
      </c>
      <c r="AY29" s="1845">
        <v>1311105</v>
      </c>
      <c r="AZ29" s="1846">
        <f t="shared" si="6"/>
        <v>0.85395647841180722</v>
      </c>
      <c r="BA29" s="1845"/>
      <c r="BB29" s="1838">
        <f>'[5]int.bevételek RM V '!AW29</f>
        <v>210952</v>
      </c>
      <c r="BC29" s="1845">
        <v>209899</v>
      </c>
      <c r="BD29" s="1846">
        <f>BC29/BB29</f>
        <v>0.99500834313019071</v>
      </c>
      <c r="BE29" s="1838">
        <f>AW29+BA29</f>
        <v>1434761</v>
      </c>
      <c r="BF29" s="1838">
        <f>AX29+BB29</f>
        <v>1746282</v>
      </c>
      <c r="BG29" s="1838">
        <f>AY29+BC29</f>
        <v>1521004</v>
      </c>
      <c r="BH29" s="1846">
        <f t="shared" si="9"/>
        <v>0.87099563529830804</v>
      </c>
      <c r="BI29" s="1838">
        <f>R29+AI29+AR29+BE29</f>
        <v>1890727</v>
      </c>
      <c r="BJ29" s="1838">
        <f>S29+AJ29+AS29+BF29</f>
        <v>2222744</v>
      </c>
      <c r="BK29" s="1838">
        <f>T29+AK29+AT29+BG29</f>
        <v>1997466</v>
      </c>
      <c r="BL29" s="1846">
        <f t="shared" si="13"/>
        <v>0.89864869728587726</v>
      </c>
      <c r="BM29" s="1824" t="e">
        <f>'[6]éves besz.kiadásai2016'!AQ29-'4 int bevétel'!AK29-'4 int bevétel'!#REF!-BC29</f>
        <v>#REF!</v>
      </c>
      <c r="BN29" s="1824" t="e">
        <f>'[6]éves besz.kiadásai2016'!AP29-'4 int bevétel'!AJ29-'4 int bevétel'!#REF!-BB29</f>
        <v>#REF!</v>
      </c>
    </row>
    <row r="30" spans="1:66" ht="57" customHeight="1" thickBot="1" x14ac:dyDescent="0.65">
      <c r="A30" s="1844" t="s">
        <v>4</v>
      </c>
      <c r="B30" s="1845">
        <f>SUM(B28:B29)</f>
        <v>471044</v>
      </c>
      <c r="C30" s="1845">
        <f>SUM(C28:C29)</f>
        <v>487523</v>
      </c>
      <c r="D30" s="1845">
        <f>SUM(D28:D29)</f>
        <v>487518</v>
      </c>
      <c r="E30" s="1847">
        <f t="shared" si="0"/>
        <v>0.99998974407361296</v>
      </c>
      <c r="F30" s="1845">
        <f>SUM(F28:F29)</f>
        <v>0</v>
      </c>
      <c r="G30" s="1845">
        <f>SUM(G28:G29)</f>
        <v>15321</v>
      </c>
      <c r="H30" s="1845">
        <f>SUM(H28:H29)</f>
        <v>15321</v>
      </c>
      <c r="I30" s="1847">
        <f>H30/G30</f>
        <v>1</v>
      </c>
      <c r="J30" s="1845">
        <f>SUM(J28:J29)</f>
        <v>0</v>
      </c>
      <c r="K30" s="1845">
        <f>SUM(K28:K29)</f>
        <v>2783</v>
      </c>
      <c r="L30" s="1845">
        <f>SUM(L28:L29)</f>
        <v>2783</v>
      </c>
      <c r="M30" s="1847">
        <f>L30/K30</f>
        <v>1</v>
      </c>
      <c r="N30" s="1845">
        <f>SUM(N28:N29)</f>
        <v>0</v>
      </c>
      <c r="O30" s="1845">
        <f>SUM(O28:O29)</f>
        <v>0</v>
      </c>
      <c r="P30" s="1845">
        <f>SUM(P28:P29)</f>
        <v>0</v>
      </c>
      <c r="Q30" s="1847"/>
      <c r="R30" s="1845">
        <f>SUM(R28:R29)</f>
        <v>471044</v>
      </c>
      <c r="S30" s="1845">
        <f>SUM(S28:S29)</f>
        <v>505627</v>
      </c>
      <c r="T30" s="1845">
        <f>SUM(T28:T29)</f>
        <v>505622</v>
      </c>
      <c r="U30" s="1847">
        <f t="shared" si="2"/>
        <v>0.99999011128756965</v>
      </c>
      <c r="V30" s="1844" t="s">
        <v>4</v>
      </c>
      <c r="W30" s="1845">
        <f>SUM(W28:W29)</f>
        <v>0</v>
      </c>
      <c r="X30" s="1845">
        <f>SUM(X28:X29)</f>
        <v>50</v>
      </c>
      <c r="Y30" s="1845">
        <f>SUM(Y28:Y29)</f>
        <v>50</v>
      </c>
      <c r="Z30" s="1847">
        <f>Y30/X30</f>
        <v>1</v>
      </c>
      <c r="AA30" s="1845">
        <f>SUM(AA28:AA29)</f>
        <v>0</v>
      </c>
      <c r="AB30" s="1845">
        <f>SUM(AB28:AB29)</f>
        <v>0</v>
      </c>
      <c r="AC30" s="1845">
        <f>SUM(AC28:AC29)</f>
        <v>0</v>
      </c>
      <c r="AD30" s="1847"/>
      <c r="AE30" s="1845">
        <f>SUM(AE28:AE29)</f>
        <v>0</v>
      </c>
      <c r="AF30" s="1845">
        <f>SUM(AF28:AF29)</f>
        <v>0</v>
      </c>
      <c r="AG30" s="1845">
        <f>SUM(AG28:AG29)</f>
        <v>0</v>
      </c>
      <c r="AH30" s="1846"/>
      <c r="AI30" s="1845">
        <f>AI28+AI29</f>
        <v>0</v>
      </c>
      <c r="AJ30" s="1845">
        <f>AJ28+AJ29</f>
        <v>50</v>
      </c>
      <c r="AK30" s="1845">
        <f>AK28+AK29</f>
        <v>50</v>
      </c>
      <c r="AL30" s="1847">
        <f>AK30/AJ30</f>
        <v>1</v>
      </c>
      <c r="AM30" s="1844" t="s">
        <v>4</v>
      </c>
      <c r="AN30" s="1845">
        <f>SUM(AN28:AN29)</f>
        <v>0</v>
      </c>
      <c r="AO30" s="1845">
        <f>SUM(AO28:AO29)</f>
        <v>17454</v>
      </c>
      <c r="AP30" s="1845">
        <f>SUM(AP28:AP29)</f>
        <v>17454</v>
      </c>
      <c r="AQ30" s="1847">
        <f t="shared" si="4"/>
        <v>1</v>
      </c>
      <c r="AR30" s="1845">
        <f>AR28+AR29</f>
        <v>0</v>
      </c>
      <c r="AS30" s="1845">
        <f>AS28+AS29</f>
        <v>17454</v>
      </c>
      <c r="AT30" s="1845">
        <f>AT28+AT29</f>
        <v>17454</v>
      </c>
      <c r="AU30" s="1847">
        <f t="shared" si="5"/>
        <v>1</v>
      </c>
      <c r="AV30" s="1844" t="s">
        <v>4</v>
      </c>
      <c r="AW30" s="1845">
        <f>SUM(AW28:AW29)</f>
        <v>2992639</v>
      </c>
      <c r="AX30" s="1845">
        <f>SUM(AX28:AX29)</f>
        <v>3168870</v>
      </c>
      <c r="AY30" s="1845">
        <f>SUM(AY28:AY29)</f>
        <v>2873424</v>
      </c>
      <c r="AZ30" s="1847">
        <f t="shared" si="6"/>
        <v>0.90676613430023956</v>
      </c>
      <c r="BA30" s="1845">
        <f>SUM(BA28:BA29)</f>
        <v>0</v>
      </c>
      <c r="BB30" s="1845">
        <f>SUM(BB28:BB29)</f>
        <v>293536</v>
      </c>
      <c r="BC30" s="1845">
        <f>SUM(BC28:BC29)</f>
        <v>284234</v>
      </c>
      <c r="BD30" s="1847">
        <f>BC30/BB30</f>
        <v>0.96831053090591956</v>
      </c>
      <c r="BE30" s="1845">
        <f>BE28+BE29</f>
        <v>2992639</v>
      </c>
      <c r="BF30" s="1845">
        <f>BF28+BF29</f>
        <v>3462406</v>
      </c>
      <c r="BG30" s="1845">
        <f>BG28+BG29</f>
        <v>3157658</v>
      </c>
      <c r="BH30" s="1847">
        <f t="shared" si="9"/>
        <v>0.91198374771762758</v>
      </c>
      <c r="BI30" s="1845">
        <f>BI28+BI29</f>
        <v>3463683</v>
      </c>
      <c r="BJ30" s="1845">
        <f>BJ28+BJ29</f>
        <v>3985537</v>
      </c>
      <c r="BK30" s="1845">
        <f>BK28+BK29</f>
        <v>3680784</v>
      </c>
      <c r="BL30" s="1847">
        <f t="shared" si="13"/>
        <v>0.92353527266212809</v>
      </c>
      <c r="BM30" s="1824" t="e">
        <f>'[6]éves besz.kiadásai2016'!AQ30-'4 int bevétel'!AK30-'4 int bevétel'!#REF!-BC30</f>
        <v>#REF!</v>
      </c>
    </row>
    <row r="31" spans="1:66" ht="57" customHeight="1" x14ac:dyDescent="0.6">
      <c r="A31" s="1848" t="s">
        <v>1348</v>
      </c>
      <c r="B31" s="1841"/>
      <c r="C31" s="1841"/>
      <c r="D31" s="1841"/>
      <c r="E31" s="1841"/>
      <c r="F31" s="1841"/>
      <c r="G31" s="1841"/>
      <c r="H31" s="1841"/>
      <c r="I31" s="1841"/>
      <c r="J31" s="1841"/>
      <c r="K31" s="1841"/>
      <c r="L31" s="1841"/>
      <c r="M31" s="1841"/>
      <c r="N31" s="1841"/>
      <c r="O31" s="1841"/>
      <c r="P31" s="1841"/>
      <c r="Q31" s="1841"/>
      <c r="R31" s="1841"/>
      <c r="S31" s="1841"/>
      <c r="T31" s="1841"/>
      <c r="U31" s="1841"/>
      <c r="V31" s="1848" t="s">
        <v>1348</v>
      </c>
      <c r="W31" s="1841"/>
      <c r="X31" s="1841"/>
      <c r="Y31" s="1841"/>
      <c r="Z31" s="1841"/>
      <c r="AA31" s="1841"/>
      <c r="AB31" s="1841"/>
      <c r="AC31" s="1841"/>
      <c r="AD31" s="1841"/>
      <c r="AE31" s="1841"/>
      <c r="AF31" s="1841"/>
      <c r="AG31" s="1841"/>
      <c r="AH31" s="1841"/>
      <c r="AI31" s="1841"/>
      <c r="AJ31" s="1841"/>
      <c r="AK31" s="1841"/>
      <c r="AL31" s="1841"/>
      <c r="AM31" s="1848" t="s">
        <v>1348</v>
      </c>
      <c r="AN31" s="1841"/>
      <c r="AO31" s="1841"/>
      <c r="AP31" s="1841"/>
      <c r="AQ31" s="1841"/>
      <c r="AR31" s="1841"/>
      <c r="AS31" s="1841"/>
      <c r="AT31" s="1841"/>
      <c r="AU31" s="1841"/>
      <c r="AV31" s="1848" t="s">
        <v>1348</v>
      </c>
      <c r="AW31" s="1841"/>
      <c r="AX31" s="1841"/>
      <c r="AY31" s="1841"/>
      <c r="AZ31" s="1841"/>
      <c r="BA31" s="1841"/>
      <c r="BB31" s="1841"/>
      <c r="BC31" s="1841"/>
      <c r="BD31" s="1841"/>
      <c r="BE31" s="1841"/>
      <c r="BF31" s="1841"/>
      <c r="BG31" s="1841"/>
      <c r="BH31" s="1841"/>
      <c r="BI31" s="1841"/>
      <c r="BJ31" s="1841"/>
      <c r="BK31" s="1841"/>
      <c r="BL31" s="1841"/>
    </row>
    <row r="32" spans="1:66" ht="57" customHeight="1" x14ac:dyDescent="0.6">
      <c r="A32" s="1849" t="s">
        <v>1129</v>
      </c>
      <c r="B32" s="1841"/>
      <c r="C32" s="1841"/>
      <c r="D32" s="1841"/>
      <c r="E32" s="1841"/>
      <c r="F32" s="1841"/>
      <c r="G32" s="1841"/>
      <c r="H32" s="1841"/>
      <c r="I32" s="1841"/>
      <c r="J32" s="1841"/>
      <c r="K32" s="1841"/>
      <c r="L32" s="1841"/>
      <c r="M32" s="1841"/>
      <c r="N32" s="1841"/>
      <c r="O32" s="1841"/>
      <c r="P32" s="1841"/>
      <c r="Q32" s="1841"/>
      <c r="R32" s="1841"/>
      <c r="S32" s="1841"/>
      <c r="T32" s="1841"/>
      <c r="U32" s="1841"/>
      <c r="V32" s="1849" t="s">
        <v>1129</v>
      </c>
      <c r="W32" s="1841"/>
      <c r="X32" s="1841"/>
      <c r="Y32" s="1841"/>
      <c r="Z32" s="1841"/>
      <c r="AA32" s="1841"/>
      <c r="AB32" s="1841"/>
      <c r="AC32" s="1841"/>
      <c r="AD32" s="1841"/>
      <c r="AE32" s="1841"/>
      <c r="AF32" s="1841"/>
      <c r="AG32" s="1841"/>
      <c r="AH32" s="1841"/>
      <c r="AI32" s="1841"/>
      <c r="AJ32" s="1841"/>
      <c r="AK32" s="1841"/>
      <c r="AL32" s="1841"/>
      <c r="AM32" s="1849" t="s">
        <v>1129</v>
      </c>
      <c r="AN32" s="1841"/>
      <c r="AO32" s="1841"/>
      <c r="AP32" s="1841"/>
      <c r="AQ32" s="1841"/>
      <c r="AR32" s="1841"/>
      <c r="AS32" s="1841"/>
      <c r="AT32" s="1841"/>
      <c r="AU32" s="1841"/>
      <c r="AV32" s="1849" t="s">
        <v>1129</v>
      </c>
      <c r="AW32" s="1841"/>
      <c r="AX32" s="1841"/>
      <c r="AY32" s="1841"/>
      <c r="AZ32" s="1841"/>
      <c r="BA32" s="1841"/>
      <c r="BB32" s="1841"/>
      <c r="BC32" s="1841"/>
      <c r="BD32" s="1841"/>
      <c r="BE32" s="1841"/>
      <c r="BF32" s="1841"/>
      <c r="BG32" s="1841"/>
      <c r="BH32" s="1841"/>
      <c r="BI32" s="1841"/>
      <c r="BJ32" s="1841"/>
      <c r="BK32" s="1841"/>
      <c r="BL32" s="1841"/>
    </row>
    <row r="33" spans="1:66" ht="57" customHeight="1" x14ac:dyDescent="0.6">
      <c r="A33" s="1850" t="s">
        <v>1194</v>
      </c>
      <c r="B33" s="1841">
        <f>[4]int.bevételek2016!B32</f>
        <v>267112</v>
      </c>
      <c r="C33" s="1838">
        <f>'[5]int.bevételek RM V '!D33</f>
        <v>292515</v>
      </c>
      <c r="D33" s="1841">
        <v>292599</v>
      </c>
      <c r="E33" s="1839">
        <f t="shared" ref="E33:E38" si="17">D33/C33</f>
        <v>1.0002871647607814</v>
      </c>
      <c r="F33" s="1841"/>
      <c r="G33" s="1838">
        <f>'[5]int.bevételek RM V '!G33</f>
        <v>24451</v>
      </c>
      <c r="H33" s="1841">
        <v>24451</v>
      </c>
      <c r="I33" s="1839">
        <f t="shared" ref="I33:I38" si="18">H33/G33</f>
        <v>1</v>
      </c>
      <c r="J33" s="1841"/>
      <c r="K33" s="1838">
        <f>'[5]int.bevételek RM V '!J33</f>
        <v>3219</v>
      </c>
      <c r="L33" s="1841">
        <f>3218</f>
        <v>3218</v>
      </c>
      <c r="M33" s="1839">
        <f>L33/K33</f>
        <v>0.9996893445169307</v>
      </c>
      <c r="N33" s="1841"/>
      <c r="O33" s="1841"/>
      <c r="P33" s="1838"/>
      <c r="Q33" s="1839"/>
      <c r="R33" s="1838">
        <f t="shared" ref="R33:T37" si="19">B33+F33+J33+N33</f>
        <v>267112</v>
      </c>
      <c r="S33" s="1838">
        <f t="shared" si="19"/>
        <v>320185</v>
      </c>
      <c r="T33" s="1838">
        <f t="shared" si="19"/>
        <v>320268</v>
      </c>
      <c r="U33" s="1839">
        <f t="shared" ref="U33:U38" si="20">T33/S33</f>
        <v>1.0002592251354685</v>
      </c>
      <c r="V33" s="1850" t="s">
        <v>1194</v>
      </c>
      <c r="W33" s="1841"/>
      <c r="X33" s="1841"/>
      <c r="Y33" s="1841"/>
      <c r="Z33" s="1839"/>
      <c r="AA33" s="1841"/>
      <c r="AB33" s="1841"/>
      <c r="AC33" s="1841"/>
      <c r="AD33" s="1839"/>
      <c r="AE33" s="1841"/>
      <c r="AF33" s="1841"/>
      <c r="AG33" s="1841"/>
      <c r="AH33" s="1839"/>
      <c r="AI33" s="1838">
        <f t="shared" ref="AI33:AK37" si="21">W33+AA33+AE33</f>
        <v>0</v>
      </c>
      <c r="AJ33" s="1838">
        <f t="shared" si="21"/>
        <v>0</v>
      </c>
      <c r="AK33" s="1838">
        <f t="shared" si="21"/>
        <v>0</v>
      </c>
      <c r="AL33" s="1839"/>
      <c r="AM33" s="1850" t="s">
        <v>1194</v>
      </c>
      <c r="AN33" s="1841"/>
      <c r="AO33" s="1838">
        <f>'[5]int.bevételek RM V '!AJ33</f>
        <v>4850</v>
      </c>
      <c r="AP33" s="1841">
        <v>4850</v>
      </c>
      <c r="AQ33" s="1839">
        <f t="shared" ref="AQ33:AQ38" si="22">AP33/AO33</f>
        <v>1</v>
      </c>
      <c r="AR33" s="1838">
        <f>AN33</f>
        <v>0</v>
      </c>
      <c r="AS33" s="1838">
        <f t="shared" ref="AS33:AT37" si="23">AO33</f>
        <v>4850</v>
      </c>
      <c r="AT33" s="1838">
        <f t="shared" si="23"/>
        <v>4850</v>
      </c>
      <c r="AU33" s="1839">
        <f t="shared" si="5"/>
        <v>1</v>
      </c>
      <c r="AV33" s="1850" t="s">
        <v>1194</v>
      </c>
      <c r="AW33" s="1841">
        <f>[4]int.bevételek2016!L32</f>
        <v>86525</v>
      </c>
      <c r="AX33" s="1838">
        <f>'[5]int.bevételek RM V '!AT33</f>
        <v>178856</v>
      </c>
      <c r="AY33" s="1851">
        <f>187725-8869</f>
        <v>178856</v>
      </c>
      <c r="AZ33" s="1839">
        <f t="shared" ref="AZ33:AZ38" si="24">AY33/AX33</f>
        <v>1</v>
      </c>
      <c r="BA33" s="1841"/>
      <c r="BB33" s="1838">
        <f>'[5]int.bevételek RM V '!AW33</f>
        <v>36478</v>
      </c>
      <c r="BC33" s="1851">
        <f>21424+8869</f>
        <v>30293</v>
      </c>
      <c r="BD33" s="1839">
        <f t="shared" ref="BD33:BD38" si="25">BC33/BB33</f>
        <v>0.83044574812215577</v>
      </c>
      <c r="BE33" s="1838">
        <f t="shared" ref="BE33:BG37" si="26">AW33+BA33</f>
        <v>86525</v>
      </c>
      <c r="BF33" s="1838">
        <f t="shared" si="26"/>
        <v>215334</v>
      </c>
      <c r="BG33" s="1838">
        <f t="shared" si="26"/>
        <v>209149</v>
      </c>
      <c r="BH33" s="1839">
        <f t="shared" ref="BH33:BH38" si="27">BG33/BF33</f>
        <v>0.971277178708425</v>
      </c>
      <c r="BI33" s="1838">
        <f t="shared" ref="BI33:BK37" si="28">R33+AI33+AR33+BE33</f>
        <v>353637</v>
      </c>
      <c r="BJ33" s="1838">
        <f t="shared" si="28"/>
        <v>540369</v>
      </c>
      <c r="BK33" s="1838">
        <f t="shared" si="28"/>
        <v>534267</v>
      </c>
      <c r="BL33" s="1839">
        <f t="shared" ref="BL33:BL38" si="29">BK33/BJ33</f>
        <v>0.98870771639379762</v>
      </c>
      <c r="BM33" s="1824" t="e">
        <f>'[6]éves besz.kiadásai2016'!AQ33-'4 int bevétel'!AK33-'4 int bevétel'!#REF!-BC33</f>
        <v>#REF!</v>
      </c>
      <c r="BN33" s="1824" t="e">
        <f>'[6]éves besz.kiadásai2016'!AP33-'4 int bevétel'!AJ33-'4 int bevétel'!#REF!-BB33</f>
        <v>#REF!</v>
      </c>
    </row>
    <row r="34" spans="1:66" ht="57" customHeight="1" x14ac:dyDescent="0.6">
      <c r="A34" s="1852" t="s">
        <v>473</v>
      </c>
      <c r="B34" s="1853">
        <f>[4]int.bevételek2016!B33</f>
        <v>30868</v>
      </c>
      <c r="C34" s="1838">
        <f>'[5]int.bevételek RM V '!D34</f>
        <v>38643</v>
      </c>
      <c r="D34" s="1853">
        <v>38642</v>
      </c>
      <c r="E34" s="1839">
        <f t="shared" si="17"/>
        <v>0.99997412209197012</v>
      </c>
      <c r="F34" s="1853"/>
      <c r="G34" s="1838">
        <f>'[5]int.bevételek RM V '!G34</f>
        <v>16977</v>
      </c>
      <c r="H34" s="1853">
        <v>16977</v>
      </c>
      <c r="I34" s="1839">
        <f t="shared" si="18"/>
        <v>1</v>
      </c>
      <c r="J34" s="1853"/>
      <c r="K34" s="1838"/>
      <c r="L34" s="1853"/>
      <c r="M34" s="1839"/>
      <c r="N34" s="1853"/>
      <c r="O34" s="1853"/>
      <c r="P34" s="1838"/>
      <c r="Q34" s="1839"/>
      <c r="R34" s="1838">
        <f t="shared" si="19"/>
        <v>30868</v>
      </c>
      <c r="S34" s="1838">
        <f t="shared" si="19"/>
        <v>55620</v>
      </c>
      <c r="T34" s="1838">
        <f t="shared" si="19"/>
        <v>55619</v>
      </c>
      <c r="U34" s="1839">
        <f t="shared" si="20"/>
        <v>0.99998202085580723</v>
      </c>
      <c r="V34" s="1852" t="s">
        <v>473</v>
      </c>
      <c r="W34" s="1853"/>
      <c r="X34" s="1853"/>
      <c r="Y34" s="1853"/>
      <c r="Z34" s="1839"/>
      <c r="AA34" s="1853"/>
      <c r="AB34" s="1853"/>
      <c r="AC34" s="1853"/>
      <c r="AD34" s="1839"/>
      <c r="AE34" s="1853"/>
      <c r="AF34" s="1853"/>
      <c r="AG34" s="1853"/>
      <c r="AH34" s="1839"/>
      <c r="AI34" s="1838">
        <f t="shared" si="21"/>
        <v>0</v>
      </c>
      <c r="AJ34" s="1838">
        <f t="shared" si="21"/>
        <v>0</v>
      </c>
      <c r="AK34" s="1838">
        <f t="shared" si="21"/>
        <v>0</v>
      </c>
      <c r="AL34" s="1839"/>
      <c r="AM34" s="1852" t="s">
        <v>473</v>
      </c>
      <c r="AN34" s="1853"/>
      <c r="AO34" s="1838">
        <f>'[5]int.bevételek RM V '!AJ34</f>
        <v>3131</v>
      </c>
      <c r="AP34" s="1853">
        <v>3131</v>
      </c>
      <c r="AQ34" s="1839">
        <f t="shared" si="22"/>
        <v>1</v>
      </c>
      <c r="AR34" s="1838">
        <f t="shared" ref="AR34:AR37" si="30">AN34</f>
        <v>0</v>
      </c>
      <c r="AS34" s="1838">
        <f t="shared" si="23"/>
        <v>3131</v>
      </c>
      <c r="AT34" s="1838">
        <f t="shared" si="23"/>
        <v>3131</v>
      </c>
      <c r="AU34" s="1839">
        <f t="shared" si="5"/>
        <v>1</v>
      </c>
      <c r="AV34" s="1852" t="s">
        <v>473</v>
      </c>
      <c r="AW34" s="1853">
        <f>[4]int.bevételek2016!L33</f>
        <v>77686</v>
      </c>
      <c r="AX34" s="1838">
        <f>'[5]int.bevételek RM V '!AT34</f>
        <v>98990</v>
      </c>
      <c r="AY34" s="1853">
        <v>71981</v>
      </c>
      <c r="AZ34" s="1839">
        <f t="shared" si="24"/>
        <v>0.7271542580058592</v>
      </c>
      <c r="BA34" s="1853"/>
      <c r="BB34" s="1838">
        <f>'[5]int.bevételek RM V '!AW34</f>
        <v>3937</v>
      </c>
      <c r="BC34" s="1853">
        <v>3835</v>
      </c>
      <c r="BD34" s="1839">
        <f t="shared" si="25"/>
        <v>0.97409194818389633</v>
      </c>
      <c r="BE34" s="1838">
        <f t="shared" si="26"/>
        <v>77686</v>
      </c>
      <c r="BF34" s="1838">
        <f t="shared" si="26"/>
        <v>102927</v>
      </c>
      <c r="BG34" s="1838">
        <f t="shared" si="26"/>
        <v>75816</v>
      </c>
      <c r="BH34" s="1839">
        <f t="shared" si="27"/>
        <v>0.73659972601941182</v>
      </c>
      <c r="BI34" s="1838">
        <f t="shared" si="28"/>
        <v>108554</v>
      </c>
      <c r="BJ34" s="1838">
        <f t="shared" si="28"/>
        <v>161678</v>
      </c>
      <c r="BK34" s="1838">
        <f t="shared" si="28"/>
        <v>134566</v>
      </c>
      <c r="BL34" s="1839">
        <f t="shared" si="29"/>
        <v>0.83230866289785865</v>
      </c>
      <c r="BM34" s="1824" t="e">
        <f>'[6]éves besz.kiadásai2016'!AQ34-'4 int bevétel'!AK34-'4 int bevétel'!#REF!-BC34</f>
        <v>#REF!</v>
      </c>
      <c r="BN34" s="1824" t="e">
        <f>'[6]éves besz.kiadásai2016'!AP34-'4 int bevétel'!AJ34-'4 int bevétel'!#REF!-BB34</f>
        <v>#REF!</v>
      </c>
    </row>
    <row r="35" spans="1:66" ht="57" customHeight="1" x14ac:dyDescent="0.6">
      <c r="A35" s="1852" t="s">
        <v>1132</v>
      </c>
      <c r="B35" s="1853">
        <f>[4]int.bevételek2016!B34</f>
        <v>87000</v>
      </c>
      <c r="C35" s="1838">
        <f>'[5]int.bevételek RM V '!D35</f>
        <v>92251</v>
      </c>
      <c r="D35" s="1853">
        <v>84257</v>
      </c>
      <c r="E35" s="1839">
        <f t="shared" si="17"/>
        <v>0.91334511279010522</v>
      </c>
      <c r="F35" s="1853"/>
      <c r="G35" s="1838">
        <f>'[5]int.bevételek RM V '!G35</f>
        <v>5000</v>
      </c>
      <c r="H35" s="1853">
        <v>25632</v>
      </c>
      <c r="I35" s="1839">
        <f t="shared" si="18"/>
        <v>5.1264000000000003</v>
      </c>
      <c r="J35" s="1853">
        <f>[4]int.bevételek2016!$D$34</f>
        <v>24000</v>
      </c>
      <c r="K35" s="1838">
        <f>'[5]int.bevételek RM V '!J35</f>
        <v>30612</v>
      </c>
      <c r="L35" s="1853">
        <v>16918</v>
      </c>
      <c r="M35" s="1854">
        <f>L35/K35</f>
        <v>0.55265908793937013</v>
      </c>
      <c r="N35" s="1853"/>
      <c r="O35" s="1853"/>
      <c r="P35" s="1838"/>
      <c r="Q35" s="1839"/>
      <c r="R35" s="1838">
        <f t="shared" si="19"/>
        <v>111000</v>
      </c>
      <c r="S35" s="1838">
        <f t="shared" si="19"/>
        <v>127863</v>
      </c>
      <c r="T35" s="1838">
        <f t="shared" si="19"/>
        <v>126807</v>
      </c>
      <c r="U35" s="1839">
        <f t="shared" si="20"/>
        <v>0.99174116046080574</v>
      </c>
      <c r="V35" s="1852" t="s">
        <v>1132</v>
      </c>
      <c r="W35" s="1853"/>
      <c r="X35" s="1853"/>
      <c r="Y35" s="1853">
        <v>1055</v>
      </c>
      <c r="Z35" s="1839"/>
      <c r="AA35" s="1853"/>
      <c r="AB35" s="1853"/>
      <c r="AC35" s="1853"/>
      <c r="AD35" s="1839"/>
      <c r="AE35" s="1853"/>
      <c r="AF35" s="1853"/>
      <c r="AG35" s="1853"/>
      <c r="AH35" s="1839"/>
      <c r="AI35" s="1838">
        <f t="shared" si="21"/>
        <v>0</v>
      </c>
      <c r="AJ35" s="1838">
        <f t="shared" si="21"/>
        <v>0</v>
      </c>
      <c r="AK35" s="1838">
        <f t="shared" si="21"/>
        <v>1055</v>
      </c>
      <c r="AL35" s="1839"/>
      <c r="AM35" s="1852" t="s">
        <v>1132</v>
      </c>
      <c r="AN35" s="1853"/>
      <c r="AO35" s="1838">
        <f>'[5]int.bevételek RM V '!AJ35</f>
        <v>27617</v>
      </c>
      <c r="AP35" s="1853">
        <v>27618</v>
      </c>
      <c r="AQ35" s="1839">
        <f t="shared" si="22"/>
        <v>1.0000362095810551</v>
      </c>
      <c r="AR35" s="1838">
        <f t="shared" si="30"/>
        <v>0</v>
      </c>
      <c r="AS35" s="1838">
        <f t="shared" si="23"/>
        <v>27617</v>
      </c>
      <c r="AT35" s="1838">
        <f t="shared" si="23"/>
        <v>27618</v>
      </c>
      <c r="AU35" s="1839">
        <f t="shared" si="5"/>
        <v>1.0000362095810551</v>
      </c>
      <c r="AV35" s="1852" t="s">
        <v>1132</v>
      </c>
      <c r="AW35" s="1853">
        <f>[4]int.bevételek2016!L34</f>
        <v>271810</v>
      </c>
      <c r="AX35" s="1838">
        <f>'[5]int.bevételek RM V '!AT35</f>
        <v>324878</v>
      </c>
      <c r="AY35" s="1853">
        <v>255793</v>
      </c>
      <c r="AZ35" s="1839">
        <f t="shared" si="24"/>
        <v>0.78735094404668826</v>
      </c>
      <c r="BA35" s="1853">
        <f>[4]int.bevételek2016!$M$34</f>
        <v>15000</v>
      </c>
      <c r="BB35" s="1838">
        <f>'[5]int.bevételek RM V '!AW35</f>
        <v>26151</v>
      </c>
      <c r="BC35" s="1853">
        <v>16418</v>
      </c>
      <c r="BD35" s="1839">
        <f t="shared" si="25"/>
        <v>0.62781537990899006</v>
      </c>
      <c r="BE35" s="1838">
        <f t="shared" si="26"/>
        <v>286810</v>
      </c>
      <c r="BF35" s="1838">
        <f t="shared" si="26"/>
        <v>351029</v>
      </c>
      <c r="BG35" s="1838">
        <f t="shared" si="26"/>
        <v>272211</v>
      </c>
      <c r="BH35" s="1839">
        <f t="shared" si="27"/>
        <v>0.77546584470228952</v>
      </c>
      <c r="BI35" s="1838">
        <f t="shared" si="28"/>
        <v>397810</v>
      </c>
      <c r="BJ35" s="1838">
        <f t="shared" si="28"/>
        <v>506509</v>
      </c>
      <c r="BK35" s="1838">
        <f t="shared" si="28"/>
        <v>427691</v>
      </c>
      <c r="BL35" s="1839">
        <f t="shared" si="29"/>
        <v>0.84438973443709786</v>
      </c>
      <c r="BM35" s="1824" t="e">
        <f>'[6]éves besz.kiadásai2016'!AQ35-'4 int bevétel'!AK35-'4 int bevétel'!#REF!-BC35</f>
        <v>#REF!</v>
      </c>
      <c r="BN35" s="1824" t="e">
        <f>'[6]éves besz.kiadásai2016'!AP35-'4 int bevétel'!AJ35-'4 int bevétel'!#REF!-BB35</f>
        <v>#REF!</v>
      </c>
    </row>
    <row r="36" spans="1:66" ht="57" customHeight="1" x14ac:dyDescent="0.6">
      <c r="A36" s="1852" t="s">
        <v>1134</v>
      </c>
      <c r="B36" s="1853">
        <f>[4]int.bevételek2016!B35</f>
        <v>24000</v>
      </c>
      <c r="C36" s="1838">
        <f>'[5]int.bevételek RM V '!D36</f>
        <v>25977</v>
      </c>
      <c r="D36" s="1853">
        <v>25964</v>
      </c>
      <c r="E36" s="1839">
        <f t="shared" si="17"/>
        <v>0.99949955730068907</v>
      </c>
      <c r="F36" s="1853"/>
      <c r="G36" s="1838">
        <f>'[5]int.bevételek RM V '!G36</f>
        <v>12343</v>
      </c>
      <c r="H36" s="1853">
        <v>12344</v>
      </c>
      <c r="I36" s="1839">
        <f t="shared" si="18"/>
        <v>1.000081017580815</v>
      </c>
      <c r="J36" s="1853"/>
      <c r="K36" s="1838"/>
      <c r="L36" s="1853"/>
      <c r="M36" s="1839"/>
      <c r="N36" s="1853"/>
      <c r="O36" s="1853"/>
      <c r="P36" s="1838"/>
      <c r="Q36" s="1839"/>
      <c r="R36" s="1838">
        <f t="shared" si="19"/>
        <v>24000</v>
      </c>
      <c r="S36" s="1838">
        <f t="shared" si="19"/>
        <v>38320</v>
      </c>
      <c r="T36" s="1838">
        <f t="shared" si="19"/>
        <v>38308</v>
      </c>
      <c r="U36" s="1839">
        <f t="shared" si="20"/>
        <v>0.99968684759916493</v>
      </c>
      <c r="V36" s="1852" t="s">
        <v>1134</v>
      </c>
      <c r="W36" s="1853"/>
      <c r="X36" s="1853"/>
      <c r="Y36" s="1853">
        <v>12</v>
      </c>
      <c r="Z36" s="1855"/>
      <c r="AA36" s="1853"/>
      <c r="AB36" s="1853"/>
      <c r="AC36" s="1853"/>
      <c r="AD36" s="1839"/>
      <c r="AE36" s="1853"/>
      <c r="AF36" s="1853"/>
      <c r="AG36" s="1853"/>
      <c r="AH36" s="1839"/>
      <c r="AI36" s="1838">
        <f t="shared" si="21"/>
        <v>0</v>
      </c>
      <c r="AJ36" s="1838">
        <f t="shared" si="21"/>
        <v>0</v>
      </c>
      <c r="AK36" s="1838">
        <f t="shared" si="21"/>
        <v>12</v>
      </c>
      <c r="AL36" s="1839"/>
      <c r="AM36" s="1852" t="s">
        <v>1134</v>
      </c>
      <c r="AN36" s="1853"/>
      <c r="AO36" s="1838">
        <f>'[5]int.bevételek RM V '!AJ36</f>
        <v>48010</v>
      </c>
      <c r="AP36" s="1853">
        <v>48010</v>
      </c>
      <c r="AQ36" s="1839">
        <f t="shared" si="22"/>
        <v>1</v>
      </c>
      <c r="AR36" s="1838">
        <f t="shared" si="30"/>
        <v>0</v>
      </c>
      <c r="AS36" s="1838">
        <f t="shared" si="23"/>
        <v>48010</v>
      </c>
      <c r="AT36" s="1838">
        <f t="shared" si="23"/>
        <v>48010</v>
      </c>
      <c r="AU36" s="1839">
        <f t="shared" si="5"/>
        <v>1</v>
      </c>
      <c r="AV36" s="1852" t="s">
        <v>1134</v>
      </c>
      <c r="AW36" s="1853">
        <f>[4]int.bevételek2016!L35</f>
        <v>171031</v>
      </c>
      <c r="AX36" s="1838">
        <f>'[5]int.bevételek RM V '!AT36</f>
        <v>299947</v>
      </c>
      <c r="AY36" s="1853">
        <v>290091</v>
      </c>
      <c r="AZ36" s="1839">
        <f t="shared" si="24"/>
        <v>0.96714086155220758</v>
      </c>
      <c r="BA36" s="1853"/>
      <c r="BB36" s="1838">
        <f>'[5]int.bevételek RM V '!AW36</f>
        <v>16266</v>
      </c>
      <c r="BC36" s="1853">
        <v>14247</v>
      </c>
      <c r="BD36" s="1839">
        <f t="shared" si="25"/>
        <v>0.87587606049428257</v>
      </c>
      <c r="BE36" s="1838">
        <f t="shared" si="26"/>
        <v>171031</v>
      </c>
      <c r="BF36" s="1838">
        <f t="shared" si="26"/>
        <v>316213</v>
      </c>
      <c r="BG36" s="1838">
        <f t="shared" si="26"/>
        <v>304338</v>
      </c>
      <c r="BH36" s="1839">
        <f t="shared" si="27"/>
        <v>0.96244619923912045</v>
      </c>
      <c r="BI36" s="1838">
        <f t="shared" si="28"/>
        <v>195031</v>
      </c>
      <c r="BJ36" s="1838">
        <f t="shared" si="28"/>
        <v>402543</v>
      </c>
      <c r="BK36" s="1838">
        <f t="shared" si="28"/>
        <v>390668</v>
      </c>
      <c r="BL36" s="1839">
        <f t="shared" si="29"/>
        <v>0.97050004595782313</v>
      </c>
      <c r="BM36" s="1824" t="e">
        <f>'[6]éves besz.kiadásai2016'!AQ36-'4 int bevétel'!AK36-'4 int bevétel'!#REF!-BC36</f>
        <v>#REF!</v>
      </c>
      <c r="BN36" s="1824" t="e">
        <f>'[6]éves besz.kiadásai2016'!AP36-'4 int bevétel'!AJ36-'4 int bevétel'!#REF!-BB36</f>
        <v>#REF!</v>
      </c>
    </row>
    <row r="37" spans="1:66" ht="57" customHeight="1" thickBot="1" x14ac:dyDescent="0.65">
      <c r="A37" s="1856" t="s">
        <v>1135</v>
      </c>
      <c r="B37" s="1853">
        <f>[4]int.bevételek2016!B36</f>
        <v>120050</v>
      </c>
      <c r="C37" s="1838">
        <f>'[5]int.bevételek RM V '!D37</f>
        <v>74038</v>
      </c>
      <c r="D37" s="1853">
        <v>74038</v>
      </c>
      <c r="E37" s="1842">
        <f t="shared" si="17"/>
        <v>1</v>
      </c>
      <c r="F37" s="1853"/>
      <c r="G37" s="1838">
        <f>'[5]int.bevételek RM V '!G37</f>
        <v>26836</v>
      </c>
      <c r="H37" s="1853">
        <v>26836</v>
      </c>
      <c r="I37" s="1842">
        <f t="shared" si="18"/>
        <v>1</v>
      </c>
      <c r="J37" s="1853"/>
      <c r="K37" s="1838">
        <f>'[5]int.bevételek RM V '!J37</f>
        <v>77</v>
      </c>
      <c r="L37" s="1853">
        <v>76</v>
      </c>
      <c r="M37" s="1842">
        <f>L37/K37</f>
        <v>0.98701298701298701</v>
      </c>
      <c r="N37" s="1857"/>
      <c r="O37" s="1857"/>
      <c r="P37" s="1838"/>
      <c r="Q37" s="1842"/>
      <c r="R37" s="1838">
        <f t="shared" si="19"/>
        <v>120050</v>
      </c>
      <c r="S37" s="1838">
        <f t="shared" si="19"/>
        <v>100951</v>
      </c>
      <c r="T37" s="1838">
        <f t="shared" si="19"/>
        <v>100950</v>
      </c>
      <c r="U37" s="1842">
        <f t="shared" si="20"/>
        <v>0.99999009420411888</v>
      </c>
      <c r="V37" s="1856" t="s">
        <v>1135</v>
      </c>
      <c r="W37" s="1853"/>
      <c r="X37" s="1853">
        <f>'[5]int.bevételek RM V '!T37</f>
        <v>40</v>
      </c>
      <c r="Y37" s="1853">
        <v>39</v>
      </c>
      <c r="Z37" s="1842">
        <f>Y37/X37</f>
        <v>0.97499999999999998</v>
      </c>
      <c r="AA37" s="1853"/>
      <c r="AB37" s="1853"/>
      <c r="AC37" s="1853"/>
      <c r="AD37" s="1842"/>
      <c r="AE37" s="1853"/>
      <c r="AF37" s="1853"/>
      <c r="AG37" s="1853"/>
      <c r="AH37" s="1842"/>
      <c r="AI37" s="1838">
        <f t="shared" si="21"/>
        <v>0</v>
      </c>
      <c r="AJ37" s="1838">
        <f t="shared" si="21"/>
        <v>40</v>
      </c>
      <c r="AK37" s="1838">
        <f t="shared" si="21"/>
        <v>39</v>
      </c>
      <c r="AL37" s="1842">
        <f>AK37/AJ37</f>
        <v>0.97499999999999998</v>
      </c>
      <c r="AM37" s="1856" t="s">
        <v>1135</v>
      </c>
      <c r="AN37" s="1853"/>
      <c r="AO37" s="1838">
        <f>'[5]int.bevételek RM V '!AJ37</f>
        <v>7927</v>
      </c>
      <c r="AP37" s="1853">
        <v>7927</v>
      </c>
      <c r="AQ37" s="1842">
        <f t="shared" si="22"/>
        <v>1</v>
      </c>
      <c r="AR37" s="1838">
        <f t="shared" si="30"/>
        <v>0</v>
      </c>
      <c r="AS37" s="1838">
        <f t="shared" si="23"/>
        <v>7927</v>
      </c>
      <c r="AT37" s="1838">
        <f t="shared" si="23"/>
        <v>7927</v>
      </c>
      <c r="AU37" s="1842">
        <f t="shared" si="5"/>
        <v>1</v>
      </c>
      <c r="AV37" s="1856" t="s">
        <v>1135</v>
      </c>
      <c r="AW37" s="1853">
        <f>[4]int.bevételek2016!L36</f>
        <v>362922</v>
      </c>
      <c r="AX37" s="1838">
        <f>'[5]int.bevételek RM V '!AT37</f>
        <v>445109</v>
      </c>
      <c r="AY37" s="1853">
        <v>427296</v>
      </c>
      <c r="AZ37" s="1842">
        <f t="shared" si="24"/>
        <v>0.95998058902426142</v>
      </c>
      <c r="BA37" s="1853"/>
      <c r="BB37" s="1838">
        <f>'[5]int.bevételek RM V '!AW37</f>
        <v>59606</v>
      </c>
      <c r="BC37" s="1853">
        <v>58627</v>
      </c>
      <c r="BD37" s="1842">
        <f t="shared" si="25"/>
        <v>0.98357547897862629</v>
      </c>
      <c r="BE37" s="1838">
        <f t="shared" si="26"/>
        <v>362922</v>
      </c>
      <c r="BF37" s="1838">
        <f t="shared" si="26"/>
        <v>504715</v>
      </c>
      <c r="BG37" s="1838">
        <f t="shared" si="26"/>
        <v>485923</v>
      </c>
      <c r="BH37" s="1842">
        <f t="shared" si="27"/>
        <v>0.96276710618864114</v>
      </c>
      <c r="BI37" s="1838">
        <f t="shared" si="28"/>
        <v>482972</v>
      </c>
      <c r="BJ37" s="1838">
        <f t="shared" si="28"/>
        <v>613633</v>
      </c>
      <c r="BK37" s="1838">
        <f t="shared" si="28"/>
        <v>594839</v>
      </c>
      <c r="BL37" s="1842">
        <f t="shared" si="29"/>
        <v>0.96937257285706602</v>
      </c>
      <c r="BM37" s="1824" t="e">
        <f>'[6]éves besz.kiadásai2016'!AQ37-'4 int bevétel'!AK37-'4 int bevétel'!#REF!-BC37</f>
        <v>#REF!</v>
      </c>
      <c r="BN37" s="1824" t="e">
        <f>'[6]éves besz.kiadásai2016'!AP37-'4 int bevétel'!AJ37-'4 int bevétel'!#REF!-BB37</f>
        <v>#REF!</v>
      </c>
    </row>
    <row r="38" spans="1:66" ht="57" customHeight="1" thickBot="1" x14ac:dyDescent="0.65">
      <c r="A38" s="1858" t="s">
        <v>1349</v>
      </c>
      <c r="B38" s="1845">
        <f>SUM(B33:B37)</f>
        <v>529030</v>
      </c>
      <c r="C38" s="1845">
        <f>SUM(C33:C37)</f>
        <v>523424</v>
      </c>
      <c r="D38" s="1845">
        <f>SUM(D33:D37)</f>
        <v>515500</v>
      </c>
      <c r="E38" s="1846">
        <f t="shared" si="17"/>
        <v>0.98486122149538424</v>
      </c>
      <c r="F38" s="1845">
        <f>SUM(F33:F37)</f>
        <v>0</v>
      </c>
      <c r="G38" s="1845">
        <f>SUM(G33:G37)</f>
        <v>85607</v>
      </c>
      <c r="H38" s="1845">
        <f>SUM(H33:H37)</f>
        <v>106240</v>
      </c>
      <c r="I38" s="1846">
        <f t="shared" si="18"/>
        <v>1.2410200100459075</v>
      </c>
      <c r="J38" s="1845">
        <f>SUM(J33:J37)</f>
        <v>24000</v>
      </c>
      <c r="K38" s="1845">
        <f>SUM(K33:K37)</f>
        <v>33908</v>
      </c>
      <c r="L38" s="1845">
        <f>SUM(L33:L37)</f>
        <v>20212</v>
      </c>
      <c r="M38" s="1846">
        <f>L38/K38</f>
        <v>0.59608352011324761</v>
      </c>
      <c r="N38" s="1845">
        <f>SUM(N33:N37)</f>
        <v>0</v>
      </c>
      <c r="O38" s="1845">
        <f>SUM(O33:O37)</f>
        <v>0</v>
      </c>
      <c r="P38" s="1845">
        <f>SUM(P33:P37)</f>
        <v>0</v>
      </c>
      <c r="Q38" s="1846"/>
      <c r="R38" s="1845">
        <f>SUM(R33:R37)</f>
        <v>553030</v>
      </c>
      <c r="S38" s="1845">
        <f>SUM(S33:S37)</f>
        <v>642939</v>
      </c>
      <c r="T38" s="1845">
        <f>SUM(T33:T37)</f>
        <v>641952</v>
      </c>
      <c r="U38" s="1846">
        <f t="shared" si="20"/>
        <v>0.99846486214088737</v>
      </c>
      <c r="V38" s="1858" t="s">
        <v>1349</v>
      </c>
      <c r="W38" s="1845">
        <f>SUM(W33:W37)</f>
        <v>0</v>
      </c>
      <c r="X38" s="1845">
        <f>SUM(X33:X37)</f>
        <v>40</v>
      </c>
      <c r="Y38" s="1845">
        <f>SUM(Y33:Y37)</f>
        <v>1106</v>
      </c>
      <c r="Z38" s="1846"/>
      <c r="AA38" s="1845">
        <f>SUM(AA33:AA37)</f>
        <v>0</v>
      </c>
      <c r="AB38" s="1845">
        <f>SUM(AB33:AB37)</f>
        <v>0</v>
      </c>
      <c r="AC38" s="1845">
        <f>SUM(AC33:AC37)</f>
        <v>0</v>
      </c>
      <c r="AD38" s="1846"/>
      <c r="AE38" s="1845">
        <f>SUM(AE33:AE37)</f>
        <v>0</v>
      </c>
      <c r="AF38" s="1845">
        <f>SUM(AF33:AF37)</f>
        <v>0</v>
      </c>
      <c r="AG38" s="1845">
        <f>SUM(AG33:AG37)</f>
        <v>0</v>
      </c>
      <c r="AH38" s="1846"/>
      <c r="AI38" s="1845">
        <f>SUM(AI33:AI37)</f>
        <v>0</v>
      </c>
      <c r="AJ38" s="1845">
        <f>SUM(AJ33:AJ37)</f>
        <v>40</v>
      </c>
      <c r="AK38" s="1845">
        <f>SUM(AK33:AK37)</f>
        <v>1106</v>
      </c>
      <c r="AL38" s="1846"/>
      <c r="AM38" s="1858" t="s">
        <v>1349</v>
      </c>
      <c r="AN38" s="1845">
        <f>SUM(AN33:AN37)</f>
        <v>0</v>
      </c>
      <c r="AO38" s="1845">
        <f>SUM(AO33:AO37)</f>
        <v>91535</v>
      </c>
      <c r="AP38" s="1845">
        <f>SUM(AP33:AP37)</f>
        <v>91536</v>
      </c>
      <c r="AQ38" s="1846">
        <f t="shared" si="22"/>
        <v>1.0000109247828699</v>
      </c>
      <c r="AR38" s="1845">
        <f>SUM(AR33:AR37)</f>
        <v>0</v>
      </c>
      <c r="AS38" s="1845">
        <f>SUM(AS33:AS37)</f>
        <v>91535</v>
      </c>
      <c r="AT38" s="1845">
        <f>SUM(AT33:AT37)</f>
        <v>91536</v>
      </c>
      <c r="AU38" s="1846">
        <f t="shared" si="5"/>
        <v>1.0000109247828699</v>
      </c>
      <c r="AV38" s="1858" t="s">
        <v>1349</v>
      </c>
      <c r="AW38" s="1845">
        <f>SUM(AW33:AW37)</f>
        <v>969974</v>
      </c>
      <c r="AX38" s="1845">
        <f>SUM(AX33:AX37)</f>
        <v>1347780</v>
      </c>
      <c r="AY38" s="1845">
        <f>SUM(AY33:AY37)</f>
        <v>1224017</v>
      </c>
      <c r="AZ38" s="1846">
        <f t="shared" si="24"/>
        <v>0.90817269880841089</v>
      </c>
      <c r="BA38" s="1845">
        <f>SUM(BA33:BA37)</f>
        <v>15000</v>
      </c>
      <c r="BB38" s="1845">
        <f>SUM(BB33:BB37)</f>
        <v>142438</v>
      </c>
      <c r="BC38" s="1845">
        <f>SUM(BC33:BC37)</f>
        <v>123420</v>
      </c>
      <c r="BD38" s="1846">
        <f t="shared" si="25"/>
        <v>0.86648225894775266</v>
      </c>
      <c r="BE38" s="1845">
        <f>SUM(BE33:BE37)</f>
        <v>984974</v>
      </c>
      <c r="BF38" s="1845">
        <f>SUM(BF33:BF37)</f>
        <v>1490218</v>
      </c>
      <c r="BG38" s="1845">
        <f>SUM(BG33:BG37)</f>
        <v>1347437</v>
      </c>
      <c r="BH38" s="1846">
        <f t="shared" si="27"/>
        <v>0.9041878436577736</v>
      </c>
      <c r="BI38" s="1845">
        <f>SUM(BI33:BI37)</f>
        <v>1538004</v>
      </c>
      <c r="BJ38" s="1845">
        <f>SUM(BJ33:BJ37)</f>
        <v>2224732</v>
      </c>
      <c r="BK38" s="1845">
        <f>SUM(BK33:BK37)</f>
        <v>2082031</v>
      </c>
      <c r="BL38" s="1846">
        <f t="shared" si="29"/>
        <v>0.93585699311197934</v>
      </c>
    </row>
    <row r="39" spans="1:66" ht="57" customHeight="1" x14ac:dyDescent="0.6">
      <c r="A39" s="1859" t="s">
        <v>1350</v>
      </c>
      <c r="B39" s="1860"/>
      <c r="C39" s="1860"/>
      <c r="D39" s="1860"/>
      <c r="E39" s="1860"/>
      <c r="F39" s="1860"/>
      <c r="G39" s="1860"/>
      <c r="H39" s="1860"/>
      <c r="I39" s="1860"/>
      <c r="J39" s="1860"/>
      <c r="K39" s="1860"/>
      <c r="L39" s="1860"/>
      <c r="M39" s="1860"/>
      <c r="N39" s="1860"/>
      <c r="O39" s="1860"/>
      <c r="P39" s="1860"/>
      <c r="Q39" s="1860"/>
      <c r="R39" s="1860"/>
      <c r="S39" s="1860"/>
      <c r="T39" s="1860"/>
      <c r="U39" s="1860"/>
      <c r="V39" s="1859" t="s">
        <v>1350</v>
      </c>
      <c r="W39" s="1860"/>
      <c r="X39" s="1860"/>
      <c r="Y39" s="1860"/>
      <c r="Z39" s="1860"/>
      <c r="AA39" s="1860"/>
      <c r="AB39" s="1860"/>
      <c r="AC39" s="1860"/>
      <c r="AD39" s="1860"/>
      <c r="AE39" s="1860"/>
      <c r="AF39" s="1860"/>
      <c r="AG39" s="1860"/>
      <c r="AH39" s="1860"/>
      <c r="AI39" s="1860"/>
      <c r="AJ39" s="1860"/>
      <c r="AK39" s="1860"/>
      <c r="AL39" s="1860"/>
      <c r="AM39" s="1859" t="s">
        <v>1350</v>
      </c>
      <c r="AN39" s="1860"/>
      <c r="AO39" s="1860"/>
      <c r="AP39" s="1860"/>
      <c r="AQ39" s="1860"/>
      <c r="AR39" s="1860"/>
      <c r="AS39" s="1860"/>
      <c r="AT39" s="1860"/>
      <c r="AU39" s="1860"/>
      <c r="AV39" s="1859" t="s">
        <v>1350</v>
      </c>
      <c r="AW39" s="1860"/>
      <c r="AX39" s="1860"/>
      <c r="AY39" s="1860"/>
      <c r="AZ39" s="1860"/>
      <c r="BA39" s="1860"/>
      <c r="BB39" s="1860"/>
      <c r="BC39" s="1860"/>
      <c r="BD39" s="1860"/>
      <c r="BE39" s="1860"/>
      <c r="BF39" s="1860"/>
      <c r="BG39" s="1860"/>
      <c r="BH39" s="1860"/>
      <c r="BI39" s="1860"/>
      <c r="BJ39" s="1860"/>
      <c r="BK39" s="1860"/>
      <c r="BL39" s="1860"/>
    </row>
    <row r="40" spans="1:66" ht="57" customHeight="1" x14ac:dyDescent="0.6">
      <c r="A40" s="1850" t="s">
        <v>1351</v>
      </c>
      <c r="B40" s="1861">
        <f>[4]int.bevételek2016!B39</f>
        <v>142894</v>
      </c>
      <c r="C40" s="1838">
        <f>'[5]int.bevételek RM V '!D40</f>
        <v>147123</v>
      </c>
      <c r="D40" s="1861">
        <v>147123</v>
      </c>
      <c r="E40" s="1842">
        <f>D40/C40</f>
        <v>1</v>
      </c>
      <c r="F40" s="1861"/>
      <c r="G40" s="1838"/>
      <c r="H40" s="1861"/>
      <c r="I40" s="1842"/>
      <c r="J40" s="1861"/>
      <c r="K40" s="1838"/>
      <c r="L40" s="1861"/>
      <c r="M40" s="1842"/>
      <c r="N40" s="1861"/>
      <c r="O40" s="1861"/>
      <c r="P40" s="1838"/>
      <c r="Q40" s="1842"/>
      <c r="R40" s="1838">
        <f>B40+F40+J40+N40</f>
        <v>142894</v>
      </c>
      <c r="S40" s="1838">
        <f>C40+G40+K40+O40</f>
        <v>147123</v>
      </c>
      <c r="T40" s="1838">
        <f>D40+H40+L40+P40</f>
        <v>147123</v>
      </c>
      <c r="U40" s="1842">
        <f>T40/S40</f>
        <v>1</v>
      </c>
      <c r="V40" s="1850" t="s">
        <v>1351</v>
      </c>
      <c r="W40" s="1861"/>
      <c r="X40" s="1861"/>
      <c r="Y40" s="1861"/>
      <c r="Z40" s="1842"/>
      <c r="AA40" s="1861"/>
      <c r="AB40" s="1861"/>
      <c r="AC40" s="1861"/>
      <c r="AD40" s="1842"/>
      <c r="AE40" s="1861"/>
      <c r="AF40" s="1861"/>
      <c r="AG40" s="1861"/>
      <c r="AH40" s="1842"/>
      <c r="AI40" s="1838">
        <f>W40+AA40+AE40</f>
        <v>0</v>
      </c>
      <c r="AJ40" s="1838">
        <f>X40+AB40+AF40</f>
        <v>0</v>
      </c>
      <c r="AK40" s="1838">
        <f>Y40+AC40+AG40</f>
        <v>0</v>
      </c>
      <c r="AL40" s="1842"/>
      <c r="AM40" s="1850" t="s">
        <v>1351</v>
      </c>
      <c r="AN40" s="1861"/>
      <c r="AO40" s="1838">
        <f>'[5]int.bevételek RM V '!AJ40</f>
        <v>35303</v>
      </c>
      <c r="AP40" s="1861">
        <v>35302</v>
      </c>
      <c r="AQ40" s="1839">
        <f>AP40/AO40</f>
        <v>0.99997167379542817</v>
      </c>
      <c r="AR40" s="1838">
        <f>AN40</f>
        <v>0</v>
      </c>
      <c r="AS40" s="1838">
        <f t="shared" ref="AS40:AT40" si="31">AO40</f>
        <v>35303</v>
      </c>
      <c r="AT40" s="1838">
        <f t="shared" si="31"/>
        <v>35302</v>
      </c>
      <c r="AU40" s="1839">
        <f t="shared" si="5"/>
        <v>0.99997167379542817</v>
      </c>
      <c r="AV40" s="1850" t="s">
        <v>1351</v>
      </c>
      <c r="AW40" s="1861">
        <f>[4]int.bevételek2016!L39</f>
        <v>0</v>
      </c>
      <c r="AX40" s="1838">
        <f>'[5]int.bevételek RM V '!AT40</f>
        <v>1081</v>
      </c>
      <c r="AY40" s="1861">
        <v>0</v>
      </c>
      <c r="AZ40" s="1842">
        <f>AY40/AX40</f>
        <v>0</v>
      </c>
      <c r="BA40" s="1861"/>
      <c r="BB40" s="1838"/>
      <c r="BC40" s="1861"/>
      <c r="BD40" s="1842"/>
      <c r="BE40" s="1838">
        <f>AW40+BA40</f>
        <v>0</v>
      </c>
      <c r="BF40" s="1838">
        <f>AX40+BB40</f>
        <v>1081</v>
      </c>
      <c r="BG40" s="1838">
        <f>AY40+BC40</f>
        <v>0</v>
      </c>
      <c r="BH40" s="1842">
        <f>BG40/BF40</f>
        <v>0</v>
      </c>
      <c r="BI40" s="1838">
        <f>R40+AI40+AR40+BE40</f>
        <v>142894</v>
      </c>
      <c r="BJ40" s="1838">
        <f>S40+AJ40+AS40+BF40</f>
        <v>183507</v>
      </c>
      <c r="BK40" s="1838">
        <f>T40+AK40+AT40+BG40</f>
        <v>182425</v>
      </c>
      <c r="BL40" s="1842">
        <f>BK40/BJ40</f>
        <v>0.99410376715874604</v>
      </c>
      <c r="BM40" s="1824" t="e">
        <f>'[6]éves besz.kiadásai2016'!AQ40-'4 int bevétel'!AK40-'4 int bevétel'!#REF!-BC40</f>
        <v>#REF!</v>
      </c>
      <c r="BN40" s="1824" t="e">
        <f>'[6]éves besz.kiadásai2016'!AP40-'4 int bevétel'!AJ40-'4 int bevétel'!#REF!-BB40</f>
        <v>#REF!</v>
      </c>
    </row>
    <row r="41" spans="1:66" ht="57" customHeight="1" thickBot="1" x14ac:dyDescent="0.65">
      <c r="A41" s="1862" t="s">
        <v>1352</v>
      </c>
      <c r="B41" s="1863">
        <f>SUM(B40)</f>
        <v>142894</v>
      </c>
      <c r="C41" s="1863">
        <f>SUM(C40)</f>
        <v>147123</v>
      </c>
      <c r="D41" s="1863">
        <f>SUM(D40)</f>
        <v>147123</v>
      </c>
      <c r="E41" s="1843">
        <f>D41/C41</f>
        <v>1</v>
      </c>
      <c r="F41" s="1863">
        <f>F40</f>
        <v>0</v>
      </c>
      <c r="G41" s="1863">
        <f>G40</f>
        <v>0</v>
      </c>
      <c r="H41" s="1863">
        <f>H40</f>
        <v>0</v>
      </c>
      <c r="I41" s="1843"/>
      <c r="J41" s="1863">
        <f>J40</f>
        <v>0</v>
      </c>
      <c r="K41" s="1863">
        <f>K40</f>
        <v>0</v>
      </c>
      <c r="L41" s="1863">
        <f>L40</f>
        <v>0</v>
      </c>
      <c r="M41" s="1843"/>
      <c r="N41" s="1863">
        <f>N40</f>
        <v>0</v>
      </c>
      <c r="O41" s="1863">
        <f>O40</f>
        <v>0</v>
      </c>
      <c r="P41" s="1863">
        <f>P40</f>
        <v>0</v>
      </c>
      <c r="Q41" s="1843"/>
      <c r="R41" s="1863">
        <f>R40</f>
        <v>142894</v>
      </c>
      <c r="S41" s="1863">
        <f>S40</f>
        <v>147123</v>
      </c>
      <c r="T41" s="1863">
        <f>T40</f>
        <v>147123</v>
      </c>
      <c r="U41" s="1843">
        <f>T41/S41</f>
        <v>1</v>
      </c>
      <c r="V41" s="1862" t="s">
        <v>1352</v>
      </c>
      <c r="W41" s="1863">
        <f>W40</f>
        <v>0</v>
      </c>
      <c r="X41" s="1863">
        <f>X40</f>
        <v>0</v>
      </c>
      <c r="Y41" s="1863">
        <f>Y40</f>
        <v>0</v>
      </c>
      <c r="Z41" s="1843"/>
      <c r="AA41" s="1863">
        <f>AA40</f>
        <v>0</v>
      </c>
      <c r="AB41" s="1863">
        <f>AB40</f>
        <v>0</v>
      </c>
      <c r="AC41" s="1863">
        <f>AC40</f>
        <v>0</v>
      </c>
      <c r="AD41" s="1843"/>
      <c r="AE41" s="1863">
        <f>AE40</f>
        <v>0</v>
      </c>
      <c r="AF41" s="1863">
        <f>AF40</f>
        <v>0</v>
      </c>
      <c r="AG41" s="1863">
        <f>AG40</f>
        <v>0</v>
      </c>
      <c r="AH41" s="1843"/>
      <c r="AI41" s="1863">
        <f>SUM(AI40:AI40)</f>
        <v>0</v>
      </c>
      <c r="AJ41" s="1863">
        <f>SUM(AJ40:AJ40)</f>
        <v>0</v>
      </c>
      <c r="AK41" s="1863">
        <f>SUM(AK40:AK40)</f>
        <v>0</v>
      </c>
      <c r="AL41" s="1843"/>
      <c r="AM41" s="1862" t="s">
        <v>1352</v>
      </c>
      <c r="AN41" s="1863">
        <f>AN40</f>
        <v>0</v>
      </c>
      <c r="AO41" s="1863">
        <f>AO40</f>
        <v>35303</v>
      </c>
      <c r="AP41" s="1863">
        <f>AP40</f>
        <v>35302</v>
      </c>
      <c r="AQ41" s="1843">
        <f>AP41/AO41</f>
        <v>0.99997167379542817</v>
      </c>
      <c r="AR41" s="1863">
        <f>SUM(AR40:AR40)</f>
        <v>0</v>
      </c>
      <c r="AS41" s="1863">
        <f>SUM(AS40:AS40)</f>
        <v>35303</v>
      </c>
      <c r="AT41" s="1863">
        <f>SUM(AT40:AT40)</f>
        <v>35302</v>
      </c>
      <c r="AU41" s="1843">
        <f t="shared" si="5"/>
        <v>0.99997167379542817</v>
      </c>
      <c r="AV41" s="1862" t="s">
        <v>1352</v>
      </c>
      <c r="AW41" s="1863">
        <f>AW40</f>
        <v>0</v>
      </c>
      <c r="AX41" s="1863">
        <f>AX40</f>
        <v>1081</v>
      </c>
      <c r="AY41" s="1863">
        <f>AY40</f>
        <v>0</v>
      </c>
      <c r="AZ41" s="1843">
        <f>AY41/AX41</f>
        <v>0</v>
      </c>
      <c r="BA41" s="1863">
        <f>BA40</f>
        <v>0</v>
      </c>
      <c r="BB41" s="1863">
        <f>BB40</f>
        <v>0</v>
      </c>
      <c r="BC41" s="1863">
        <f>BC40</f>
        <v>0</v>
      </c>
      <c r="BD41" s="1843"/>
      <c r="BE41" s="1863">
        <f>SUM(BE40:BE40)</f>
        <v>0</v>
      </c>
      <c r="BF41" s="1863">
        <f>SUM(BF40:BF40)</f>
        <v>1081</v>
      </c>
      <c r="BG41" s="1863">
        <f>SUM(BG40:BG40)</f>
        <v>0</v>
      </c>
      <c r="BH41" s="1843">
        <f>BG41/BF41</f>
        <v>0</v>
      </c>
      <c r="BI41" s="1863">
        <f>SUM(BI40:BI40)</f>
        <v>142894</v>
      </c>
      <c r="BJ41" s="1863">
        <f>SUM(BJ40:BJ40)</f>
        <v>183507</v>
      </c>
      <c r="BK41" s="1863">
        <f>SUM(BK40:BK40)</f>
        <v>182425</v>
      </c>
      <c r="BL41" s="1843">
        <f>BK41/BJ41</f>
        <v>0.99410376715874604</v>
      </c>
    </row>
    <row r="42" spans="1:66" ht="57" customHeight="1" x14ac:dyDescent="0.6">
      <c r="A42" s="1859" t="s">
        <v>1353</v>
      </c>
      <c r="B42" s="1860"/>
      <c r="C42" s="1860"/>
      <c r="D42" s="1860"/>
      <c r="E42" s="1842"/>
      <c r="F42" s="1860"/>
      <c r="G42" s="1860"/>
      <c r="H42" s="1860"/>
      <c r="I42" s="1842"/>
      <c r="J42" s="1860"/>
      <c r="K42" s="1860"/>
      <c r="L42" s="1860"/>
      <c r="M42" s="1842"/>
      <c r="N42" s="1860"/>
      <c r="O42" s="1860"/>
      <c r="P42" s="1860"/>
      <c r="Q42" s="1842"/>
      <c r="R42" s="1860"/>
      <c r="S42" s="1860"/>
      <c r="T42" s="1860"/>
      <c r="U42" s="1842"/>
      <c r="V42" s="1859" t="s">
        <v>1353</v>
      </c>
      <c r="W42" s="1860"/>
      <c r="X42" s="1860"/>
      <c r="Y42" s="1860"/>
      <c r="Z42" s="1842"/>
      <c r="AA42" s="1860"/>
      <c r="AB42" s="1860"/>
      <c r="AC42" s="1860"/>
      <c r="AD42" s="1842"/>
      <c r="AE42" s="1860"/>
      <c r="AF42" s="1860"/>
      <c r="AG42" s="1860"/>
      <c r="AH42" s="1842"/>
      <c r="AI42" s="1860"/>
      <c r="AJ42" s="1860"/>
      <c r="AK42" s="1860"/>
      <c r="AL42" s="1842"/>
      <c r="AM42" s="1859" t="s">
        <v>1353</v>
      </c>
      <c r="AN42" s="1860"/>
      <c r="AO42" s="1860"/>
      <c r="AP42" s="1860"/>
      <c r="AQ42" s="1842"/>
      <c r="AR42" s="1860"/>
      <c r="AS42" s="1860"/>
      <c r="AT42" s="1860"/>
      <c r="AU42" s="1842"/>
      <c r="AV42" s="1859" t="s">
        <v>1353</v>
      </c>
      <c r="AW42" s="1860"/>
      <c r="AX42" s="1860"/>
      <c r="AY42" s="1860"/>
      <c r="AZ42" s="1842"/>
      <c r="BA42" s="1860"/>
      <c r="BB42" s="1860"/>
      <c r="BC42" s="1860"/>
      <c r="BD42" s="1842"/>
      <c r="BE42" s="1860"/>
      <c r="BF42" s="1860"/>
      <c r="BG42" s="1860"/>
      <c r="BH42" s="1842"/>
      <c r="BI42" s="1860"/>
      <c r="BJ42" s="1860"/>
      <c r="BK42" s="1860"/>
      <c r="BL42" s="1842"/>
    </row>
    <row r="43" spans="1:66" ht="105" customHeight="1" x14ac:dyDescent="0.6">
      <c r="A43" s="1864" t="s">
        <v>1354</v>
      </c>
      <c r="B43" s="1861">
        <f>[4]int.bevételek2016!B42</f>
        <v>30104</v>
      </c>
      <c r="C43" s="1838">
        <f>'[5]int.bevételek RM V '!D43</f>
        <v>30893</v>
      </c>
      <c r="D43" s="1861">
        <v>30893</v>
      </c>
      <c r="E43" s="1839">
        <f>D43/C43</f>
        <v>1</v>
      </c>
      <c r="F43" s="1861">
        <f>[4]int.bevételek2016!C42</f>
        <v>200571</v>
      </c>
      <c r="G43" s="1838">
        <f>'[5]int.bevételek RM V '!G43</f>
        <v>223012</v>
      </c>
      <c r="H43" s="1861">
        <v>223012</v>
      </c>
      <c r="I43" s="1839">
        <f>H43/G43</f>
        <v>1</v>
      </c>
      <c r="J43" s="1861"/>
      <c r="K43" s="1838"/>
      <c r="L43" s="1861"/>
      <c r="M43" s="1839"/>
      <c r="N43" s="1861"/>
      <c r="O43" s="1861"/>
      <c r="P43" s="1838"/>
      <c r="Q43" s="1839"/>
      <c r="R43" s="1838">
        <f>B43+F43+J43+N43</f>
        <v>230675</v>
      </c>
      <c r="S43" s="1838">
        <f>C43+G43+K43+O43</f>
        <v>253905</v>
      </c>
      <c r="T43" s="1838">
        <f>D43+H43+L43+P43</f>
        <v>253905</v>
      </c>
      <c r="U43" s="1839">
        <f>T43/S43</f>
        <v>1</v>
      </c>
      <c r="V43" s="1850" t="s">
        <v>1354</v>
      </c>
      <c r="W43" s="1861"/>
      <c r="X43" s="1861"/>
      <c r="Y43" s="1861"/>
      <c r="Z43" s="1839"/>
      <c r="AA43" s="1861">
        <f>[4]int.bevételek2016!$I$42</f>
        <v>1270</v>
      </c>
      <c r="AB43" s="1861">
        <f>'[5]int.bevételek RM V '!$W$43</f>
        <v>4630</v>
      </c>
      <c r="AC43" s="1861">
        <v>4630</v>
      </c>
      <c r="AD43" s="1839">
        <f>AC43/AB43</f>
        <v>1</v>
      </c>
      <c r="AE43" s="1861"/>
      <c r="AF43" s="1861"/>
      <c r="AG43" s="1861"/>
      <c r="AH43" s="1839"/>
      <c r="AI43" s="1838">
        <f>W43+AA43+AE43</f>
        <v>1270</v>
      </c>
      <c r="AJ43" s="1838">
        <f>X43+AB43+AF43</f>
        <v>4630</v>
      </c>
      <c r="AK43" s="1838">
        <f>Y43+AC43+AG43</f>
        <v>4630</v>
      </c>
      <c r="AL43" s="1839">
        <f>AK43/AJ43</f>
        <v>1</v>
      </c>
      <c r="AM43" s="1850" t="s">
        <v>1354</v>
      </c>
      <c r="AN43" s="1861"/>
      <c r="AO43" s="1838">
        <f>'[5]int.bevételek RM V '!AJ43</f>
        <v>19190</v>
      </c>
      <c r="AP43" s="1861">
        <v>19190</v>
      </c>
      <c r="AQ43" s="1839">
        <f>AP43/AO43</f>
        <v>1</v>
      </c>
      <c r="AR43" s="1838">
        <f>AN43</f>
        <v>0</v>
      </c>
      <c r="AS43" s="1838">
        <f t="shared" ref="AS43:AT43" si="32">AO43</f>
        <v>19190</v>
      </c>
      <c r="AT43" s="1838">
        <f t="shared" si="32"/>
        <v>19190</v>
      </c>
      <c r="AU43" s="1839">
        <f t="shared" si="5"/>
        <v>1</v>
      </c>
      <c r="AV43" s="1850" t="s">
        <v>1354</v>
      </c>
      <c r="AW43" s="1861">
        <f>[4]int.bevételek2016!L42</f>
        <v>199592</v>
      </c>
      <c r="AX43" s="1838">
        <f>'[5]int.bevételek RM V '!AT43</f>
        <v>230677</v>
      </c>
      <c r="AY43" s="1861">
        <v>227793</v>
      </c>
      <c r="AZ43" s="1839">
        <f>AY43/AX43</f>
        <v>0.98749766990207088</v>
      </c>
      <c r="BA43" s="1861"/>
      <c r="BB43" s="1838">
        <f>'[5]int.bevételek RM V '!AW43</f>
        <v>17438</v>
      </c>
      <c r="BC43" s="1861">
        <v>13018</v>
      </c>
      <c r="BD43" s="1839">
        <f>BC43/BB43</f>
        <v>0.74653056543181562</v>
      </c>
      <c r="BE43" s="1838">
        <f>AW43+BA43</f>
        <v>199592</v>
      </c>
      <c r="BF43" s="1838">
        <f>AX43+BB43</f>
        <v>248115</v>
      </c>
      <c r="BG43" s="1838">
        <f>AY43+BC43</f>
        <v>240811</v>
      </c>
      <c r="BH43" s="1839">
        <f>BG43/BF43</f>
        <v>0.97056203776474614</v>
      </c>
      <c r="BI43" s="1838">
        <f>R43+AI43+AR43+BE43</f>
        <v>431537</v>
      </c>
      <c r="BJ43" s="1838">
        <f>S43+AJ43+AS43+BF43</f>
        <v>525840</v>
      </c>
      <c r="BK43" s="1838">
        <f>T43+AK43+AT43+BG43</f>
        <v>518536</v>
      </c>
      <c r="BL43" s="1839">
        <f>BK43/BJ43</f>
        <v>0.98610984329834173</v>
      </c>
      <c r="BM43" s="1824" t="e">
        <f>'[6]éves besz.kiadásai2016'!AQ43-'4 int bevétel'!AK43-'4 int bevétel'!#REF!-BC43</f>
        <v>#REF!</v>
      </c>
      <c r="BN43" s="1824" t="e">
        <f>'[6]éves besz.kiadásai2016'!AP43-'4 int bevétel'!AJ43-'4 int bevétel'!#REF!-BB43</f>
        <v>#REF!</v>
      </c>
    </row>
    <row r="44" spans="1:66" ht="57" customHeight="1" thickBot="1" x14ac:dyDescent="0.65">
      <c r="A44" s="1862" t="s">
        <v>1355</v>
      </c>
      <c r="B44" s="1863">
        <f>SUM(B43)</f>
        <v>30104</v>
      </c>
      <c r="C44" s="1863">
        <f>SUM(C43)</f>
        <v>30893</v>
      </c>
      <c r="D44" s="1863">
        <f>SUM(D43)</f>
        <v>30893</v>
      </c>
      <c r="E44" s="1843">
        <f>D44/C44</f>
        <v>1</v>
      </c>
      <c r="F44" s="1863">
        <f>F43</f>
        <v>200571</v>
      </c>
      <c r="G44" s="1863">
        <f>G43</f>
        <v>223012</v>
      </c>
      <c r="H44" s="1863">
        <f>H43</f>
        <v>223012</v>
      </c>
      <c r="I44" s="1843">
        <f>H44/G44</f>
        <v>1</v>
      </c>
      <c r="J44" s="1863">
        <f>J43</f>
        <v>0</v>
      </c>
      <c r="K44" s="1863">
        <f>K43</f>
        <v>0</v>
      </c>
      <c r="L44" s="1863">
        <f>L43</f>
        <v>0</v>
      </c>
      <c r="M44" s="1843"/>
      <c r="N44" s="1863">
        <f>N43</f>
        <v>0</v>
      </c>
      <c r="O44" s="1863">
        <f>O43</f>
        <v>0</v>
      </c>
      <c r="P44" s="1863">
        <f>P43</f>
        <v>0</v>
      </c>
      <c r="Q44" s="1843"/>
      <c r="R44" s="1863">
        <f>SUM(R43)</f>
        <v>230675</v>
      </c>
      <c r="S44" s="1863">
        <f>SUM(S43)</f>
        <v>253905</v>
      </c>
      <c r="T44" s="1863">
        <f>SUM(T43)</f>
        <v>253905</v>
      </c>
      <c r="U44" s="1843">
        <f>T44/S44</f>
        <v>1</v>
      </c>
      <c r="V44" s="1862" t="s">
        <v>1355</v>
      </c>
      <c r="W44" s="1863">
        <f>W43</f>
        <v>0</v>
      </c>
      <c r="X44" s="1863">
        <f>X43</f>
        <v>0</v>
      </c>
      <c r="Y44" s="1863">
        <f>Y43</f>
        <v>0</v>
      </c>
      <c r="Z44" s="1843"/>
      <c r="AA44" s="1863">
        <f>AA43</f>
        <v>1270</v>
      </c>
      <c r="AB44" s="1863">
        <f>AB43</f>
        <v>4630</v>
      </c>
      <c r="AC44" s="1863">
        <f>AC43</f>
        <v>4630</v>
      </c>
      <c r="AD44" s="1843">
        <f>AC44/AB44</f>
        <v>1</v>
      </c>
      <c r="AE44" s="1863">
        <f>AE43</f>
        <v>0</v>
      </c>
      <c r="AF44" s="1863">
        <f>AF43</f>
        <v>0</v>
      </c>
      <c r="AG44" s="1863">
        <f>AG43</f>
        <v>0</v>
      </c>
      <c r="AH44" s="1843"/>
      <c r="AI44" s="1863">
        <f>SUM(AI43)</f>
        <v>1270</v>
      </c>
      <c r="AJ44" s="1863">
        <f>SUM(AJ43)</f>
        <v>4630</v>
      </c>
      <c r="AK44" s="1863">
        <f>SUM(AK43)</f>
        <v>4630</v>
      </c>
      <c r="AL44" s="1843">
        <f>AK44/AJ44</f>
        <v>1</v>
      </c>
      <c r="AM44" s="1862" t="s">
        <v>1355</v>
      </c>
      <c r="AN44" s="1863">
        <f>AN43</f>
        <v>0</v>
      </c>
      <c r="AO44" s="1863">
        <f>AO43</f>
        <v>19190</v>
      </c>
      <c r="AP44" s="1863">
        <f>AP43</f>
        <v>19190</v>
      </c>
      <c r="AQ44" s="1843">
        <f>AP44/AO44</f>
        <v>1</v>
      </c>
      <c r="AR44" s="1863">
        <f>SUM(AR43)</f>
        <v>0</v>
      </c>
      <c r="AS44" s="1863">
        <f>SUM(AS43)</f>
        <v>19190</v>
      </c>
      <c r="AT44" s="1863">
        <f>SUM(AT43)</f>
        <v>19190</v>
      </c>
      <c r="AU44" s="1843">
        <f t="shared" si="5"/>
        <v>1</v>
      </c>
      <c r="AV44" s="1862" t="s">
        <v>1355</v>
      </c>
      <c r="AW44" s="1863">
        <f>AW43</f>
        <v>199592</v>
      </c>
      <c r="AX44" s="1863">
        <f>AX43</f>
        <v>230677</v>
      </c>
      <c r="AY44" s="1863">
        <f>AY43</f>
        <v>227793</v>
      </c>
      <c r="AZ44" s="1843">
        <f>AY44/AX44</f>
        <v>0.98749766990207088</v>
      </c>
      <c r="BA44" s="1863">
        <f>BA43</f>
        <v>0</v>
      </c>
      <c r="BB44" s="1863">
        <f>BB43</f>
        <v>17438</v>
      </c>
      <c r="BC44" s="1863">
        <f>BC43</f>
        <v>13018</v>
      </c>
      <c r="BD44" s="1843">
        <f>BC44/BB44</f>
        <v>0.74653056543181562</v>
      </c>
      <c r="BE44" s="1863">
        <f>SUM(BE43)</f>
        <v>199592</v>
      </c>
      <c r="BF44" s="1863">
        <f>SUM(BF43)</f>
        <v>248115</v>
      </c>
      <c r="BG44" s="1863">
        <f>SUM(BG43)</f>
        <v>240811</v>
      </c>
      <c r="BH44" s="1843">
        <f>BG44/BF44</f>
        <v>0.97056203776474614</v>
      </c>
      <c r="BI44" s="1863">
        <f>SUM(BI43)</f>
        <v>431537</v>
      </c>
      <c r="BJ44" s="1863">
        <f>SUM(BJ43)</f>
        <v>525840</v>
      </c>
      <c r="BK44" s="1863">
        <f>SUM(BK43)</f>
        <v>518536</v>
      </c>
      <c r="BL44" s="1843">
        <f>BK44/BJ44</f>
        <v>0.98610984329834173</v>
      </c>
    </row>
    <row r="45" spans="1:66" ht="57" customHeight="1" x14ac:dyDescent="0.6">
      <c r="A45" s="1859" t="s">
        <v>1151</v>
      </c>
      <c r="B45" s="1860"/>
      <c r="C45" s="1860"/>
      <c r="D45" s="1860"/>
      <c r="E45" s="1860"/>
      <c r="F45" s="1860"/>
      <c r="G45" s="1860"/>
      <c r="H45" s="1860"/>
      <c r="I45" s="1860"/>
      <c r="J45" s="1860"/>
      <c r="K45" s="1860"/>
      <c r="L45" s="1860"/>
      <c r="M45" s="1860"/>
      <c r="N45" s="1860"/>
      <c r="O45" s="1860"/>
      <c r="P45" s="1860"/>
      <c r="Q45" s="1860"/>
      <c r="R45" s="1860"/>
      <c r="S45" s="1860"/>
      <c r="T45" s="1860"/>
      <c r="U45" s="1860"/>
      <c r="V45" s="1859" t="s">
        <v>1151</v>
      </c>
      <c r="W45" s="1860"/>
      <c r="X45" s="1860"/>
      <c r="Y45" s="1860"/>
      <c r="Z45" s="1860"/>
      <c r="AA45" s="1860"/>
      <c r="AB45" s="1860"/>
      <c r="AC45" s="1860"/>
      <c r="AD45" s="1860"/>
      <c r="AE45" s="1860"/>
      <c r="AF45" s="1860"/>
      <c r="AG45" s="1860"/>
      <c r="AH45" s="1860"/>
      <c r="AI45" s="1860"/>
      <c r="AJ45" s="1860"/>
      <c r="AK45" s="1860"/>
      <c r="AL45" s="1860"/>
      <c r="AM45" s="1859" t="s">
        <v>1151</v>
      </c>
      <c r="AN45" s="1860"/>
      <c r="AO45" s="1860"/>
      <c r="AP45" s="1860"/>
      <c r="AQ45" s="1860"/>
      <c r="AR45" s="1860"/>
      <c r="AS45" s="1860"/>
      <c r="AT45" s="1860"/>
      <c r="AU45" s="1860"/>
      <c r="AV45" s="1859" t="s">
        <v>1151</v>
      </c>
      <c r="AW45" s="1860"/>
      <c r="AX45" s="1860"/>
      <c r="AY45" s="1860"/>
      <c r="AZ45" s="1860"/>
      <c r="BA45" s="1860"/>
      <c r="BB45" s="1860"/>
      <c r="BC45" s="1860"/>
      <c r="BD45" s="1860"/>
      <c r="BE45" s="1860"/>
      <c r="BF45" s="1860"/>
      <c r="BG45" s="1860"/>
      <c r="BH45" s="1860"/>
      <c r="BI45" s="1860"/>
      <c r="BJ45" s="1860"/>
      <c r="BK45" s="1860"/>
      <c r="BL45" s="1860"/>
    </row>
    <row r="46" spans="1:66" ht="105" customHeight="1" x14ac:dyDescent="0.6">
      <c r="A46" s="1865" t="s">
        <v>1356</v>
      </c>
      <c r="B46" s="1841">
        <f>[4]int.bevételek2016!B45</f>
        <v>49527</v>
      </c>
      <c r="C46" s="1838">
        <v>42721</v>
      </c>
      <c r="D46" s="1841">
        <v>42794</v>
      </c>
      <c r="E46" s="1839">
        <f t="shared" ref="E46:E51" si="33">D46/C46</f>
        <v>1.0017087614990285</v>
      </c>
      <c r="F46" s="1841"/>
      <c r="G46" s="1838">
        <f>'[5]int.bevételek RM V '!G46</f>
        <v>819</v>
      </c>
      <c r="H46" s="1841">
        <v>819</v>
      </c>
      <c r="I46" s="1839">
        <f t="shared" ref="I46:I51" si="34">H46/G46</f>
        <v>1</v>
      </c>
      <c r="J46" s="1841"/>
      <c r="K46" s="1838"/>
      <c r="L46" s="1838"/>
      <c r="M46" s="1839"/>
      <c r="N46" s="1866"/>
      <c r="O46" s="1838"/>
      <c r="P46" s="1838"/>
      <c r="Q46" s="1839"/>
      <c r="R46" s="1838">
        <f t="shared" ref="R46:T47" si="35">B46+F46+J46+N46</f>
        <v>49527</v>
      </c>
      <c r="S46" s="1838">
        <f t="shared" si="35"/>
        <v>43540</v>
      </c>
      <c r="T46" s="1838">
        <f t="shared" si="35"/>
        <v>43613</v>
      </c>
      <c r="U46" s="1839">
        <f t="shared" ref="U46:U51" si="36">T46/S46</f>
        <v>1.0016766192007349</v>
      </c>
      <c r="V46" s="1865" t="s">
        <v>1356</v>
      </c>
      <c r="W46" s="1841"/>
      <c r="X46" s="1841"/>
      <c r="Y46" s="1841"/>
      <c r="Z46" s="1839"/>
      <c r="AA46" s="1841"/>
      <c r="AB46" s="1841"/>
      <c r="AC46" s="1841"/>
      <c r="AD46" s="1839"/>
      <c r="AE46" s="1841"/>
      <c r="AF46" s="1841"/>
      <c r="AG46" s="1841"/>
      <c r="AH46" s="1839"/>
      <c r="AI46" s="1838">
        <f t="shared" ref="AI46:AK47" si="37">W46+AA46+AE46</f>
        <v>0</v>
      </c>
      <c r="AJ46" s="1838">
        <f t="shared" si="37"/>
        <v>0</v>
      </c>
      <c r="AK46" s="1838">
        <f t="shared" si="37"/>
        <v>0</v>
      </c>
      <c r="AL46" s="1839"/>
      <c r="AM46" s="1865" t="s">
        <v>1356</v>
      </c>
      <c r="AN46" s="1841"/>
      <c r="AO46" s="1838">
        <v>2499</v>
      </c>
      <c r="AP46" s="1841">
        <v>2499</v>
      </c>
      <c r="AQ46" s="1839">
        <f t="shared" ref="AQ46:AQ51" si="38">AP46/AO46</f>
        <v>1</v>
      </c>
      <c r="AR46" s="1838">
        <f>AN46</f>
        <v>0</v>
      </c>
      <c r="AS46" s="1838">
        <f t="shared" ref="AS46:AT47" si="39">AO46</f>
        <v>2499</v>
      </c>
      <c r="AT46" s="1838">
        <f t="shared" si="39"/>
        <v>2499</v>
      </c>
      <c r="AU46" s="1839">
        <f t="shared" si="5"/>
        <v>1</v>
      </c>
      <c r="AV46" s="1865" t="s">
        <v>1356</v>
      </c>
      <c r="AW46" s="1841">
        <f>[4]int.bevételek2016!L45</f>
        <v>497998</v>
      </c>
      <c r="AX46" s="1838">
        <f>'[5]int.bevételek RM V '!AT46</f>
        <v>594762</v>
      </c>
      <c r="AY46" s="1841">
        <v>592692</v>
      </c>
      <c r="AZ46" s="1839">
        <f t="shared" ref="AZ46:AZ51" si="40">AY46/AX46</f>
        <v>0.9965196162498613</v>
      </c>
      <c r="BA46" s="1841">
        <f>[4]int.bevételek2016!$M$45</f>
        <v>1903</v>
      </c>
      <c r="BB46" s="1838">
        <f>'[5]int.bevételek RM V '!AW46</f>
        <v>7226</v>
      </c>
      <c r="BC46" s="1841">
        <v>6313</v>
      </c>
      <c r="BD46" s="1839">
        <f t="shared" ref="BD46:BD51" si="41">BC46/BB46</f>
        <v>0.87365070578466653</v>
      </c>
      <c r="BE46" s="1838">
        <f t="shared" ref="BE46:BG47" si="42">AW46+BA46</f>
        <v>499901</v>
      </c>
      <c r="BF46" s="1838">
        <f t="shared" si="42"/>
        <v>601988</v>
      </c>
      <c r="BG46" s="1838">
        <f t="shared" si="42"/>
        <v>599005</v>
      </c>
      <c r="BH46" s="1839">
        <f t="shared" ref="BH46:BH51" si="43">BG46/BF46</f>
        <v>0.99504475172262574</v>
      </c>
      <c r="BI46" s="1838">
        <f t="shared" ref="BI46:BK47" si="44">R46+AI46+AR46+BE46</f>
        <v>549428</v>
      </c>
      <c r="BJ46" s="1838">
        <f t="shared" si="44"/>
        <v>648027</v>
      </c>
      <c r="BK46" s="1838">
        <f t="shared" si="44"/>
        <v>645117</v>
      </c>
      <c r="BL46" s="1839">
        <f t="shared" ref="BL46:BL51" si="45">BK46/BJ46</f>
        <v>0.99550944636566074</v>
      </c>
      <c r="BM46" s="1824" t="e">
        <f>'[6]éves besz.kiadásai2016'!AQ46-'4 int bevétel'!AK46-'4 int bevétel'!#REF!-BC46</f>
        <v>#REF!</v>
      </c>
      <c r="BN46" s="1824" t="e">
        <f>'[6]éves besz.kiadásai2016'!AP46-'4 int bevétel'!AJ46-'4 int bevétel'!#REF!-BB46</f>
        <v>#REF!</v>
      </c>
    </row>
    <row r="47" spans="1:66" s="1869" customFormat="1" ht="105" customHeight="1" thickBot="1" x14ac:dyDescent="0.65">
      <c r="A47" s="1867" t="s">
        <v>1357</v>
      </c>
      <c r="B47" s="1857">
        <f>[4]int.bevételek2016!B46</f>
        <v>89561</v>
      </c>
      <c r="C47" s="1838">
        <f>'[5]int.bevételek RM V '!D47</f>
        <v>111263</v>
      </c>
      <c r="D47" s="1857">
        <v>111263</v>
      </c>
      <c r="E47" s="1842">
        <f t="shared" si="33"/>
        <v>1</v>
      </c>
      <c r="F47" s="1857"/>
      <c r="G47" s="1838">
        <f>'[5]int.bevételek RM V '!G47</f>
        <v>22874</v>
      </c>
      <c r="H47" s="1857">
        <v>22874</v>
      </c>
      <c r="I47" s="1842">
        <f t="shared" si="34"/>
        <v>1</v>
      </c>
      <c r="J47" s="1857"/>
      <c r="K47" s="1838"/>
      <c r="L47" s="1857"/>
      <c r="M47" s="1842"/>
      <c r="N47" s="1841"/>
      <c r="O47" s="1841"/>
      <c r="P47" s="1841"/>
      <c r="Q47" s="1842"/>
      <c r="R47" s="1838">
        <f t="shared" si="35"/>
        <v>89561</v>
      </c>
      <c r="S47" s="1838">
        <f t="shared" si="35"/>
        <v>134137</v>
      </c>
      <c r="T47" s="1838">
        <f t="shared" si="35"/>
        <v>134137</v>
      </c>
      <c r="U47" s="1842">
        <f t="shared" si="36"/>
        <v>1</v>
      </c>
      <c r="V47" s="1867" t="s">
        <v>1357</v>
      </c>
      <c r="W47" s="1857"/>
      <c r="X47" s="1857">
        <f>'[5]int.bevételek RM V '!$T$47</f>
        <v>14</v>
      </c>
      <c r="Y47" s="1857">
        <v>14</v>
      </c>
      <c r="Z47" s="1842">
        <f>Y47/X47</f>
        <v>1</v>
      </c>
      <c r="AA47" s="1857"/>
      <c r="AB47" s="1857"/>
      <c r="AC47" s="1857"/>
      <c r="AD47" s="1842"/>
      <c r="AE47" s="1857"/>
      <c r="AF47" s="1857"/>
      <c r="AG47" s="1857"/>
      <c r="AH47" s="1842"/>
      <c r="AI47" s="1838">
        <f t="shared" si="37"/>
        <v>0</v>
      </c>
      <c r="AJ47" s="1838">
        <f t="shared" si="37"/>
        <v>14</v>
      </c>
      <c r="AK47" s="1838">
        <f t="shared" si="37"/>
        <v>14</v>
      </c>
      <c r="AL47" s="1842">
        <f>AK47/AJ47</f>
        <v>1</v>
      </c>
      <c r="AM47" s="1867" t="s">
        <v>1357</v>
      </c>
      <c r="AN47" s="1857"/>
      <c r="AO47" s="1838">
        <f>'[5]int.bevételek RM V '!AJ47</f>
        <v>30448</v>
      </c>
      <c r="AP47" s="1857">
        <v>30448</v>
      </c>
      <c r="AQ47" s="1842">
        <f t="shared" si="38"/>
        <v>1</v>
      </c>
      <c r="AR47" s="1838">
        <f>AN47</f>
        <v>0</v>
      </c>
      <c r="AS47" s="1838">
        <f t="shared" si="39"/>
        <v>30448</v>
      </c>
      <c r="AT47" s="1838">
        <f t="shared" si="39"/>
        <v>30448</v>
      </c>
      <c r="AU47" s="1842">
        <f t="shared" si="5"/>
        <v>1</v>
      </c>
      <c r="AV47" s="1867" t="s">
        <v>1357</v>
      </c>
      <c r="AW47" s="1857">
        <f>[4]int.bevételek2016!L46</f>
        <v>535000</v>
      </c>
      <c r="AX47" s="1838">
        <f>'[5]int.bevételek RM V '!AT47</f>
        <v>604136</v>
      </c>
      <c r="AY47" s="1857">
        <v>574585</v>
      </c>
      <c r="AZ47" s="1842">
        <f t="shared" si="40"/>
        <v>0.95108551716831968</v>
      </c>
      <c r="BA47" s="1857"/>
      <c r="BB47" s="1838">
        <f>'[5]int.bevételek RM V '!AW47</f>
        <v>28647</v>
      </c>
      <c r="BC47" s="1857">
        <v>19083</v>
      </c>
      <c r="BD47" s="1868">
        <f t="shared" si="41"/>
        <v>0.66614305162844278</v>
      </c>
      <c r="BE47" s="1838">
        <f t="shared" si="42"/>
        <v>535000</v>
      </c>
      <c r="BF47" s="1838">
        <f t="shared" si="42"/>
        <v>632783</v>
      </c>
      <c r="BG47" s="1838">
        <f t="shared" si="42"/>
        <v>593668</v>
      </c>
      <c r="BH47" s="1842">
        <f t="shared" si="43"/>
        <v>0.93818576036334733</v>
      </c>
      <c r="BI47" s="1838">
        <f t="shared" si="44"/>
        <v>624561</v>
      </c>
      <c r="BJ47" s="1838">
        <f t="shared" si="44"/>
        <v>797382</v>
      </c>
      <c r="BK47" s="1838">
        <f t="shared" si="44"/>
        <v>758267</v>
      </c>
      <c r="BL47" s="1842">
        <f t="shared" si="45"/>
        <v>0.95094571986826892</v>
      </c>
      <c r="BM47" s="1821" t="e">
        <f>'[6]éves besz.kiadásai2016'!AQ47-'4 int bevétel'!AK47-'4 int bevétel'!#REF!-BC47</f>
        <v>#REF!</v>
      </c>
      <c r="BN47" s="1821" t="e">
        <f>'[6]éves besz.kiadásai2016'!AP47-'4 int bevétel'!AJ47-'4 int bevétel'!#REF!-BB47</f>
        <v>#REF!</v>
      </c>
    </row>
    <row r="48" spans="1:66" ht="57" customHeight="1" thickBot="1" x14ac:dyDescent="0.65">
      <c r="A48" s="1870" t="s">
        <v>1355</v>
      </c>
      <c r="B48" s="1845">
        <f>SUM(B46:B47)</f>
        <v>139088</v>
      </c>
      <c r="C48" s="1845">
        <f>SUM(C46:C47)</f>
        <v>153984</v>
      </c>
      <c r="D48" s="1845">
        <f>SUM(D46:D47)</f>
        <v>154057</v>
      </c>
      <c r="E48" s="1871">
        <f t="shared" si="33"/>
        <v>1.0004740752285952</v>
      </c>
      <c r="F48" s="1845">
        <f>SUM(F46:F47)</f>
        <v>0</v>
      </c>
      <c r="G48" s="1845">
        <f>SUM(G46:G47)</f>
        <v>23693</v>
      </c>
      <c r="H48" s="1845">
        <f>SUM(H46:H47)</f>
        <v>23693</v>
      </c>
      <c r="I48" s="1871">
        <f t="shared" si="34"/>
        <v>1</v>
      </c>
      <c r="J48" s="1845">
        <f>SUM(J46:J47)</f>
        <v>0</v>
      </c>
      <c r="K48" s="1845">
        <f>SUM(K46:K47)</f>
        <v>0</v>
      </c>
      <c r="L48" s="1845">
        <f>SUM(L46:L47)</f>
        <v>0</v>
      </c>
      <c r="M48" s="1871"/>
      <c r="N48" s="1845">
        <f>SUM(N46:N47)</f>
        <v>0</v>
      </c>
      <c r="O48" s="1845">
        <f>SUM(O46:O47)</f>
        <v>0</v>
      </c>
      <c r="P48" s="1845">
        <f>SUM(P46:P47)</f>
        <v>0</v>
      </c>
      <c r="Q48" s="1871"/>
      <c r="R48" s="1845">
        <f>SUM(R46:R47)</f>
        <v>139088</v>
      </c>
      <c r="S48" s="1845">
        <f>SUM(S46:S47)</f>
        <v>177677</v>
      </c>
      <c r="T48" s="1845">
        <f>SUM(T46:T47)</f>
        <v>177750</v>
      </c>
      <c r="U48" s="1871">
        <f t="shared" si="36"/>
        <v>1.000410857905075</v>
      </c>
      <c r="V48" s="1870" t="s">
        <v>1355</v>
      </c>
      <c r="W48" s="1845">
        <f>SUM(W46:W47)</f>
        <v>0</v>
      </c>
      <c r="X48" s="1845">
        <f>SUM(X46:X47)</f>
        <v>14</v>
      </c>
      <c r="Y48" s="1845">
        <f>SUM(Y46:Y47)</f>
        <v>14</v>
      </c>
      <c r="Z48" s="1846">
        <f>Y48/X48</f>
        <v>1</v>
      </c>
      <c r="AA48" s="1845">
        <f>SUM(AA46:AA47)</f>
        <v>0</v>
      </c>
      <c r="AB48" s="1845">
        <f>SUM(AB46:AB47)</f>
        <v>0</v>
      </c>
      <c r="AC48" s="1845">
        <f>SUM(AC46:AC47)</f>
        <v>0</v>
      </c>
      <c r="AD48" s="1871"/>
      <c r="AE48" s="1845">
        <f>SUM(AE46:AE47)</f>
        <v>0</v>
      </c>
      <c r="AF48" s="1845">
        <f>SUM(AF46:AF47)</f>
        <v>0</v>
      </c>
      <c r="AG48" s="1845">
        <f>SUM(AG46:AG47)</f>
        <v>0</v>
      </c>
      <c r="AH48" s="1871"/>
      <c r="AI48" s="1845">
        <f>SUM(AI46:AI47)</f>
        <v>0</v>
      </c>
      <c r="AJ48" s="1845">
        <f>SUM(AJ46:AJ47)</f>
        <v>14</v>
      </c>
      <c r="AK48" s="1845">
        <f>SUM(AK46:AK47)</f>
        <v>14</v>
      </c>
      <c r="AL48" s="1871">
        <f>AK48/AJ48</f>
        <v>1</v>
      </c>
      <c r="AM48" s="1870" t="s">
        <v>1355</v>
      </c>
      <c r="AN48" s="1845">
        <f>SUM(AN46:AN47)</f>
        <v>0</v>
      </c>
      <c r="AO48" s="1845">
        <f>SUM(AO46:AO47)</f>
        <v>32947</v>
      </c>
      <c r="AP48" s="1845">
        <f>SUM(AP46:AP47)</f>
        <v>32947</v>
      </c>
      <c r="AQ48" s="1871">
        <f t="shared" si="38"/>
        <v>1</v>
      </c>
      <c r="AR48" s="1845">
        <f>SUM(AR46:AR47)</f>
        <v>0</v>
      </c>
      <c r="AS48" s="1845">
        <f>SUM(AS46:AS47)</f>
        <v>32947</v>
      </c>
      <c r="AT48" s="1845">
        <f>SUM(AT46:AT47)</f>
        <v>32947</v>
      </c>
      <c r="AU48" s="1871">
        <f t="shared" si="5"/>
        <v>1</v>
      </c>
      <c r="AV48" s="1870" t="s">
        <v>1355</v>
      </c>
      <c r="AW48" s="1845">
        <f>SUM(AW46:AW47)</f>
        <v>1032998</v>
      </c>
      <c r="AX48" s="1845">
        <f>SUM(AX46:AX47)</f>
        <v>1198898</v>
      </c>
      <c r="AY48" s="1845">
        <f>SUM(AY46:AY47)</f>
        <v>1167277</v>
      </c>
      <c r="AZ48" s="1871">
        <f t="shared" si="40"/>
        <v>0.97362494557501977</v>
      </c>
      <c r="BA48" s="1845">
        <f>SUM(BA46:BA47)</f>
        <v>1903</v>
      </c>
      <c r="BB48" s="1845">
        <f>SUM(BB46:BB47)</f>
        <v>35873</v>
      </c>
      <c r="BC48" s="1845">
        <f>SUM(BC46:BC47)</f>
        <v>25396</v>
      </c>
      <c r="BD48" s="1871">
        <f t="shared" si="41"/>
        <v>0.707941906168985</v>
      </c>
      <c r="BE48" s="1845">
        <f>SUM(BE46:BE47)</f>
        <v>1034901</v>
      </c>
      <c r="BF48" s="1845">
        <f>SUM(BF46:BF47)</f>
        <v>1234771</v>
      </c>
      <c r="BG48" s="1845">
        <f>SUM(BG46:BG47)</f>
        <v>1192673</v>
      </c>
      <c r="BH48" s="1871">
        <f t="shared" si="43"/>
        <v>0.96590622876630561</v>
      </c>
      <c r="BI48" s="1845">
        <f>SUM(BI46:BI47)</f>
        <v>1173989</v>
      </c>
      <c r="BJ48" s="1845">
        <f>SUM(BJ46:BJ47)</f>
        <v>1445409</v>
      </c>
      <c r="BK48" s="1845">
        <f>SUM(BK46:BK47)</f>
        <v>1403384</v>
      </c>
      <c r="BL48" s="1871">
        <f t="shared" si="45"/>
        <v>0.97092518449795184</v>
      </c>
    </row>
    <row r="49" spans="1:66" ht="57" customHeight="1" thickBot="1" x14ac:dyDescent="0.65">
      <c r="A49" s="1872" t="s">
        <v>1166</v>
      </c>
      <c r="B49" s="1863">
        <f>B38+B41+B44+B48</f>
        <v>841116</v>
      </c>
      <c r="C49" s="1863">
        <f>C38+C41+C44+C48</f>
        <v>855424</v>
      </c>
      <c r="D49" s="1863">
        <f>D38+D41+D44+D48</f>
        <v>847573</v>
      </c>
      <c r="E49" s="1846">
        <f t="shared" si="33"/>
        <v>0.99082209524165799</v>
      </c>
      <c r="F49" s="1863">
        <f>F38+F41+F44+F48</f>
        <v>200571</v>
      </c>
      <c r="G49" s="1863">
        <f>G38+G41+G44+G48</f>
        <v>332312</v>
      </c>
      <c r="H49" s="1863">
        <f>H38+H41+H44+H48</f>
        <v>352945</v>
      </c>
      <c r="I49" s="1846">
        <f t="shared" si="34"/>
        <v>1.0620892414357592</v>
      </c>
      <c r="J49" s="1863">
        <f>J38+J41+J44+J48</f>
        <v>24000</v>
      </c>
      <c r="K49" s="1863">
        <f>K38+K41+K44+K48</f>
        <v>33908</v>
      </c>
      <c r="L49" s="1863">
        <f>L38+L41+L44+L48</f>
        <v>20212</v>
      </c>
      <c r="M49" s="1846">
        <f>L49/K49</f>
        <v>0.59608352011324761</v>
      </c>
      <c r="N49" s="1863">
        <f>N38+N41+N44+N48</f>
        <v>0</v>
      </c>
      <c r="O49" s="1863">
        <f>O38+O41+O44+O48</f>
        <v>0</v>
      </c>
      <c r="P49" s="1863">
        <f>P38+P41+P44+P48</f>
        <v>0</v>
      </c>
      <c r="Q49" s="1846"/>
      <c r="R49" s="1863">
        <f>R38+R41+R44+R48</f>
        <v>1065687</v>
      </c>
      <c r="S49" s="1863">
        <f>S38+S41+S44+S48</f>
        <v>1221644</v>
      </c>
      <c r="T49" s="1863">
        <f>T38+T41+T44+T48</f>
        <v>1220730</v>
      </c>
      <c r="U49" s="1846">
        <f t="shared" si="36"/>
        <v>0.9992518278647462</v>
      </c>
      <c r="V49" s="1872" t="s">
        <v>1166</v>
      </c>
      <c r="W49" s="1863">
        <f>W38+W41+W44+W48</f>
        <v>0</v>
      </c>
      <c r="X49" s="1863">
        <f>X38+X41+X44+X48</f>
        <v>54</v>
      </c>
      <c r="Y49" s="1863">
        <f>Y38+Y41+Y44+Y48</f>
        <v>1120</v>
      </c>
      <c r="Z49" s="1846"/>
      <c r="AA49" s="1863">
        <f>AA38+AA41+AA44+AA48</f>
        <v>1270</v>
      </c>
      <c r="AB49" s="1863">
        <f>AB38+AB41+AB44+AB48</f>
        <v>4630</v>
      </c>
      <c r="AC49" s="1863">
        <f>AC38+AC41+AC44+AC48</f>
        <v>4630</v>
      </c>
      <c r="AD49" s="1846">
        <f>AC49/AB49</f>
        <v>1</v>
      </c>
      <c r="AE49" s="1863">
        <f>AE38+AE41+AE44+AE48</f>
        <v>0</v>
      </c>
      <c r="AF49" s="1863">
        <f>AF38+AF41+AF44+AF48</f>
        <v>0</v>
      </c>
      <c r="AG49" s="1863">
        <f>AG38+AG41+AG44+AG48</f>
        <v>0</v>
      </c>
      <c r="AH49" s="1846"/>
      <c r="AI49" s="1863">
        <f>AI38+AI41+AI44+AI48</f>
        <v>1270</v>
      </c>
      <c r="AJ49" s="1863">
        <f>AJ38+AJ41+AJ44+AJ48</f>
        <v>4684</v>
      </c>
      <c r="AK49" s="1863">
        <f>AK38+AK41+AK44+AK48</f>
        <v>5750</v>
      </c>
      <c r="AL49" s="1846">
        <f>AK49/AJ49</f>
        <v>1.2275832621690863</v>
      </c>
      <c r="AM49" s="1872" t="s">
        <v>1166</v>
      </c>
      <c r="AN49" s="1863">
        <f>AN38+AN41+AN44+AN48</f>
        <v>0</v>
      </c>
      <c r="AO49" s="1863">
        <f>AO38+AO41+AO44+AO48</f>
        <v>178975</v>
      </c>
      <c r="AP49" s="1863">
        <f>AP38+AP41+AP44+AP48</f>
        <v>178975</v>
      </c>
      <c r="AQ49" s="1846">
        <f t="shared" si="38"/>
        <v>1</v>
      </c>
      <c r="AR49" s="1863">
        <f>AR38+AR41+AR44+AR48</f>
        <v>0</v>
      </c>
      <c r="AS49" s="1863">
        <f>AS38+AS41+AS44+AS48</f>
        <v>178975</v>
      </c>
      <c r="AT49" s="1863">
        <f>AT38+AT41+AT44+AT48</f>
        <v>178975</v>
      </c>
      <c r="AU49" s="1846">
        <f t="shared" si="5"/>
        <v>1</v>
      </c>
      <c r="AV49" s="1872" t="s">
        <v>1166</v>
      </c>
      <c r="AW49" s="1863">
        <f>AW38+AW41+AW44+AW48</f>
        <v>2202564</v>
      </c>
      <c r="AX49" s="1863">
        <f>AX38+AX41+AX44+AX48</f>
        <v>2778436</v>
      </c>
      <c r="AY49" s="1863">
        <f>AY38+AY41+AY44+AY48</f>
        <v>2619087</v>
      </c>
      <c r="AZ49" s="1846">
        <f t="shared" si="40"/>
        <v>0.94264795014173441</v>
      </c>
      <c r="BA49" s="1863">
        <f>BA38+BA41+BA44+BA48</f>
        <v>16903</v>
      </c>
      <c r="BB49" s="1863">
        <f>BB38+BB41+BB44+BB48</f>
        <v>195749</v>
      </c>
      <c r="BC49" s="1863">
        <f>BC38+BC41+BC44+BC48</f>
        <v>161834</v>
      </c>
      <c r="BD49" s="1846">
        <f t="shared" si="41"/>
        <v>0.82674240992291148</v>
      </c>
      <c r="BE49" s="1863">
        <f>BE38+BE41+BE44+BE48</f>
        <v>2219467</v>
      </c>
      <c r="BF49" s="1863">
        <f>BF38+BF41+BF44+BF48</f>
        <v>2974185</v>
      </c>
      <c r="BG49" s="1863">
        <f>BG38+BG41+BG44+BG48</f>
        <v>2780921</v>
      </c>
      <c r="BH49" s="1846">
        <f t="shared" si="43"/>
        <v>0.93501950954631263</v>
      </c>
      <c r="BI49" s="1863">
        <f>BI38+BI41+BI44+BI48</f>
        <v>3286424</v>
      </c>
      <c r="BJ49" s="1863">
        <f>BJ38+BJ41+BJ44+BJ48</f>
        <v>4379488</v>
      </c>
      <c r="BK49" s="1863">
        <f>BK38+BK41+BK44+BK48</f>
        <v>4186376</v>
      </c>
      <c r="BL49" s="1846">
        <f t="shared" si="45"/>
        <v>0.95590534783974745</v>
      </c>
    </row>
    <row r="50" spans="1:66" ht="57" customHeight="1" thickBot="1" x14ac:dyDescent="0.65">
      <c r="A50" s="1873" t="s">
        <v>1358</v>
      </c>
      <c r="B50" s="1863">
        <f>B30</f>
        <v>471044</v>
      </c>
      <c r="C50" s="1863">
        <f>C30</f>
        <v>487523</v>
      </c>
      <c r="D50" s="1863">
        <f>D30</f>
        <v>487518</v>
      </c>
      <c r="E50" s="1842">
        <f t="shared" si="33"/>
        <v>0.99998974407361296</v>
      </c>
      <c r="F50" s="1863">
        <f>F30</f>
        <v>0</v>
      </c>
      <c r="G50" s="1863">
        <f>G30</f>
        <v>15321</v>
      </c>
      <c r="H50" s="1863">
        <f>H30</f>
        <v>15321</v>
      </c>
      <c r="I50" s="1842">
        <f t="shared" si="34"/>
        <v>1</v>
      </c>
      <c r="J50" s="1863">
        <f>J30</f>
        <v>0</v>
      </c>
      <c r="K50" s="1863">
        <f>K30</f>
        <v>2783</v>
      </c>
      <c r="L50" s="1863">
        <f>L30</f>
        <v>2783</v>
      </c>
      <c r="M50" s="1842">
        <f>L50/K50</f>
        <v>1</v>
      </c>
      <c r="N50" s="1863">
        <f>N30</f>
        <v>0</v>
      </c>
      <c r="O50" s="1863">
        <f>O30</f>
        <v>0</v>
      </c>
      <c r="P50" s="1863">
        <f>P30</f>
        <v>0</v>
      </c>
      <c r="Q50" s="1842"/>
      <c r="R50" s="1863">
        <f>R30</f>
        <v>471044</v>
      </c>
      <c r="S50" s="1863">
        <f>S30</f>
        <v>505627</v>
      </c>
      <c r="T50" s="1863">
        <f>T30</f>
        <v>505622</v>
      </c>
      <c r="U50" s="1842">
        <f t="shared" si="36"/>
        <v>0.99999011128756965</v>
      </c>
      <c r="V50" s="1873" t="s">
        <v>1358</v>
      </c>
      <c r="W50" s="1863">
        <f>W30</f>
        <v>0</v>
      </c>
      <c r="X50" s="1863">
        <f>X30</f>
        <v>50</v>
      </c>
      <c r="Y50" s="1863">
        <f>Y30</f>
        <v>50</v>
      </c>
      <c r="Z50" s="1842">
        <f>Y50/X50</f>
        <v>1</v>
      </c>
      <c r="AA50" s="1863">
        <f>AA30</f>
        <v>0</v>
      </c>
      <c r="AB50" s="1863">
        <f>AB30</f>
        <v>0</v>
      </c>
      <c r="AC50" s="1863">
        <f>AC30</f>
        <v>0</v>
      </c>
      <c r="AD50" s="1842"/>
      <c r="AE50" s="1863">
        <f>AE30</f>
        <v>0</v>
      </c>
      <c r="AF50" s="1863">
        <f>AF30</f>
        <v>0</v>
      </c>
      <c r="AG50" s="1863">
        <f>AG30</f>
        <v>0</v>
      </c>
      <c r="AH50" s="1842"/>
      <c r="AI50" s="1863">
        <f>AI30</f>
        <v>0</v>
      </c>
      <c r="AJ50" s="1863">
        <f>AJ30</f>
        <v>50</v>
      </c>
      <c r="AK50" s="1863">
        <f>AK30</f>
        <v>50</v>
      </c>
      <c r="AL50" s="1842">
        <f>AK50/AJ50</f>
        <v>1</v>
      </c>
      <c r="AM50" s="1873" t="s">
        <v>1358</v>
      </c>
      <c r="AN50" s="1863">
        <f>AN30</f>
        <v>0</v>
      </c>
      <c r="AO50" s="1863">
        <f>AO30</f>
        <v>17454</v>
      </c>
      <c r="AP50" s="1863">
        <f>AP30</f>
        <v>17454</v>
      </c>
      <c r="AQ50" s="1842">
        <f t="shared" si="38"/>
        <v>1</v>
      </c>
      <c r="AR50" s="1863">
        <f>AR30</f>
        <v>0</v>
      </c>
      <c r="AS50" s="1863">
        <f>AS30</f>
        <v>17454</v>
      </c>
      <c r="AT50" s="1863">
        <f>AT30</f>
        <v>17454</v>
      </c>
      <c r="AU50" s="1842">
        <f t="shared" si="5"/>
        <v>1</v>
      </c>
      <c r="AV50" s="1873" t="s">
        <v>1358</v>
      </c>
      <c r="AW50" s="1863">
        <f>AW30</f>
        <v>2992639</v>
      </c>
      <c r="AX50" s="1863">
        <f>AX30</f>
        <v>3168870</v>
      </c>
      <c r="AY50" s="1863">
        <f>AY30</f>
        <v>2873424</v>
      </c>
      <c r="AZ50" s="1842">
        <f t="shared" si="40"/>
        <v>0.90676613430023956</v>
      </c>
      <c r="BA50" s="1863">
        <f>BA30</f>
        <v>0</v>
      </c>
      <c r="BB50" s="1863">
        <f>BB30</f>
        <v>293536</v>
      </c>
      <c r="BC50" s="1863">
        <f>BC30</f>
        <v>284234</v>
      </c>
      <c r="BD50" s="1842">
        <f t="shared" si="41"/>
        <v>0.96831053090591956</v>
      </c>
      <c r="BE50" s="1863">
        <f>BE30</f>
        <v>2992639</v>
      </c>
      <c r="BF50" s="1863">
        <f>BF30</f>
        <v>3462406</v>
      </c>
      <c r="BG50" s="1863">
        <f>BG30</f>
        <v>3157658</v>
      </c>
      <c r="BH50" s="1842">
        <f t="shared" si="43"/>
        <v>0.91198374771762758</v>
      </c>
      <c r="BI50" s="1863">
        <f>BI30</f>
        <v>3463683</v>
      </c>
      <c r="BJ50" s="1863">
        <f>BJ30</f>
        <v>3985537</v>
      </c>
      <c r="BK50" s="1863">
        <f>BK30</f>
        <v>3680784</v>
      </c>
      <c r="BL50" s="1842">
        <f t="shared" si="45"/>
        <v>0.92353527266212809</v>
      </c>
    </row>
    <row r="51" spans="1:66" ht="57" customHeight="1" thickBot="1" x14ac:dyDescent="0.65">
      <c r="A51" s="1858" t="s">
        <v>1167</v>
      </c>
      <c r="B51" s="1845">
        <f>SUM(B49:B50)</f>
        <v>1312160</v>
      </c>
      <c r="C51" s="1845">
        <f>SUM(C49:C50)</f>
        <v>1342947</v>
      </c>
      <c r="D51" s="1845">
        <f>SUM(D49:D50)</f>
        <v>1335091</v>
      </c>
      <c r="E51" s="1846">
        <f t="shared" si="33"/>
        <v>0.99415017867421429</v>
      </c>
      <c r="F51" s="1845">
        <f>SUM(F49:F50)</f>
        <v>200571</v>
      </c>
      <c r="G51" s="1845">
        <f>SUM(G49:G50)</f>
        <v>347633</v>
      </c>
      <c r="H51" s="1845">
        <f>SUM(H49:H50)</f>
        <v>368266</v>
      </c>
      <c r="I51" s="1846">
        <f t="shared" si="34"/>
        <v>1.0593528232359988</v>
      </c>
      <c r="J51" s="1845">
        <f>SUM(J49:J50)</f>
        <v>24000</v>
      </c>
      <c r="K51" s="1845">
        <f>SUM(K49:K50)</f>
        <v>36691</v>
      </c>
      <c r="L51" s="1845">
        <f>SUM(L49:L50)</f>
        <v>22995</v>
      </c>
      <c r="M51" s="1846">
        <f>L51/K51</f>
        <v>0.62672044915646885</v>
      </c>
      <c r="N51" s="1845">
        <f>SUM(N49:N50)</f>
        <v>0</v>
      </c>
      <c r="O51" s="1845">
        <f>SUM(O49:O50)</f>
        <v>0</v>
      </c>
      <c r="P51" s="1845">
        <f>SUM(P49:P50)</f>
        <v>0</v>
      </c>
      <c r="Q51" s="1846"/>
      <c r="R51" s="1845">
        <f>SUM(R49:R50)</f>
        <v>1536731</v>
      </c>
      <c r="S51" s="1845">
        <f>SUM(S49:S50)</f>
        <v>1727271</v>
      </c>
      <c r="T51" s="1845">
        <f>SUM(T49:T50)</f>
        <v>1726352</v>
      </c>
      <c r="U51" s="1846">
        <f t="shared" si="36"/>
        <v>0.99946794683636786</v>
      </c>
      <c r="V51" s="1874" t="s">
        <v>1167</v>
      </c>
      <c r="W51" s="1845">
        <f>SUM(W49:W50)</f>
        <v>0</v>
      </c>
      <c r="X51" s="1845">
        <f>SUM(X49:X50)</f>
        <v>104</v>
      </c>
      <c r="Y51" s="1845">
        <f>SUM(Y49:Y50)</f>
        <v>1170</v>
      </c>
      <c r="Z51" s="1846"/>
      <c r="AA51" s="1845">
        <f>SUM(AA49:AA50)</f>
        <v>1270</v>
      </c>
      <c r="AB51" s="1845">
        <f>SUM(AB49:AB50)</f>
        <v>4630</v>
      </c>
      <c r="AC51" s="1845">
        <f>SUM(AC49:AC50)</f>
        <v>4630</v>
      </c>
      <c r="AD51" s="1846">
        <f>AC51/AB51</f>
        <v>1</v>
      </c>
      <c r="AE51" s="1845">
        <f>SUM(AE49:AE50)</f>
        <v>0</v>
      </c>
      <c r="AF51" s="1845">
        <f>SUM(AF49:AF50)</f>
        <v>0</v>
      </c>
      <c r="AG51" s="1845">
        <f>SUM(AG49:AG50)</f>
        <v>0</v>
      </c>
      <c r="AH51" s="1846"/>
      <c r="AI51" s="1845">
        <f>SUM(AI49:AI50)</f>
        <v>1270</v>
      </c>
      <c r="AJ51" s="1845">
        <f>SUM(AJ49:AJ50)</f>
        <v>4734</v>
      </c>
      <c r="AK51" s="1845">
        <f>SUM(AK49:AK50)</f>
        <v>5800</v>
      </c>
      <c r="AL51" s="1846">
        <f>AK51/AJ51</f>
        <v>1.2251795521757498</v>
      </c>
      <c r="AM51" s="1874" t="s">
        <v>1167</v>
      </c>
      <c r="AN51" s="1845">
        <f>SUM(AN49:AN50)</f>
        <v>0</v>
      </c>
      <c r="AO51" s="1845">
        <f>SUM(AO49:AO50)</f>
        <v>196429</v>
      </c>
      <c r="AP51" s="1845">
        <f>SUM(AP49:AP50)</f>
        <v>196429</v>
      </c>
      <c r="AQ51" s="1846">
        <f t="shared" si="38"/>
        <v>1</v>
      </c>
      <c r="AR51" s="1845">
        <f>SUM(AR49:AR50)</f>
        <v>0</v>
      </c>
      <c r="AS51" s="1845">
        <f>SUM(AS49:AS50)</f>
        <v>196429</v>
      </c>
      <c r="AT51" s="1845">
        <f>SUM(AT49:AT50)</f>
        <v>196429</v>
      </c>
      <c r="AU51" s="1846">
        <f t="shared" si="5"/>
        <v>1</v>
      </c>
      <c r="AV51" s="1874" t="s">
        <v>1167</v>
      </c>
      <c r="AW51" s="1845">
        <f>SUM(AW49:AW50)</f>
        <v>5195203</v>
      </c>
      <c r="AX51" s="1845">
        <f>SUM(AX49:AX50)</f>
        <v>5947306</v>
      </c>
      <c r="AY51" s="1845">
        <f>SUM(AY49:AY50)</f>
        <v>5492511</v>
      </c>
      <c r="AZ51" s="1846">
        <f t="shared" si="40"/>
        <v>0.92352924164319106</v>
      </c>
      <c r="BA51" s="1845">
        <f>SUM(BA49:BA50)</f>
        <v>16903</v>
      </c>
      <c r="BB51" s="1845">
        <f>SUM(BB49:BB50)</f>
        <v>489285</v>
      </c>
      <c r="BC51" s="1845">
        <f>SUM(BC49:BC50)</f>
        <v>446068</v>
      </c>
      <c r="BD51" s="1846">
        <f t="shared" si="41"/>
        <v>0.91167315572723462</v>
      </c>
      <c r="BE51" s="1845">
        <f>SUM(BE49:BE50)</f>
        <v>5212106</v>
      </c>
      <c r="BF51" s="1845">
        <f>SUM(BF49:BF50)</f>
        <v>6436591</v>
      </c>
      <c r="BG51" s="1845">
        <f>SUM(BG49:BG50)</f>
        <v>5938579</v>
      </c>
      <c r="BH51" s="1846">
        <f t="shared" si="43"/>
        <v>0.92262798739270524</v>
      </c>
      <c r="BI51" s="1845">
        <f>SUM(BI49:BI50)</f>
        <v>6750107</v>
      </c>
      <c r="BJ51" s="1845">
        <f>SUM(BJ49:BJ50)</f>
        <v>8365025</v>
      </c>
      <c r="BK51" s="1845">
        <f>SUM(BK49:BK50)</f>
        <v>7867160</v>
      </c>
      <c r="BL51" s="1846">
        <f t="shared" si="45"/>
        <v>0.94048254488181449</v>
      </c>
    </row>
    <row r="52" spans="1:66" ht="57" customHeight="1" x14ac:dyDescent="0.6">
      <c r="A52" s="1865" t="s">
        <v>1359</v>
      </c>
      <c r="B52" s="1841">
        <f>[4]int.bevételek2016!B51</f>
        <v>0</v>
      </c>
      <c r="C52" s="1838">
        <f>'[5]int.bevételek RM V '!D52</f>
        <v>1010</v>
      </c>
      <c r="D52" s="1841">
        <v>1205</v>
      </c>
      <c r="E52" s="1875">
        <f>D52/C52</f>
        <v>1.193069306930693</v>
      </c>
      <c r="F52" s="1841"/>
      <c r="G52" s="1838"/>
      <c r="H52" s="1841"/>
      <c r="I52" s="1839"/>
      <c r="J52" s="1841"/>
      <c r="K52" s="1838"/>
      <c r="L52" s="1838"/>
      <c r="M52" s="1875"/>
      <c r="N52" s="1866"/>
      <c r="O52" s="1838"/>
      <c r="P52" s="1838"/>
      <c r="Q52" s="1839"/>
      <c r="R52" s="1838">
        <f t="shared" ref="R52:T53" si="46">B52+F52+J52+N52</f>
        <v>0</v>
      </c>
      <c r="S52" s="1838">
        <f t="shared" si="46"/>
        <v>1010</v>
      </c>
      <c r="T52" s="1838">
        <f t="shared" si="46"/>
        <v>1205</v>
      </c>
      <c r="U52" s="1839">
        <f>T52/S52</f>
        <v>1.193069306930693</v>
      </c>
      <c r="V52" s="1865" t="s">
        <v>1359</v>
      </c>
      <c r="W52" s="1841"/>
      <c r="X52" s="1841"/>
      <c r="Y52" s="1841"/>
      <c r="Z52" s="1839"/>
      <c r="AA52" s="1841"/>
      <c r="AB52" s="1841"/>
      <c r="AC52" s="1841"/>
      <c r="AD52" s="1839"/>
      <c r="AE52" s="1841"/>
      <c r="AF52" s="1841"/>
      <c r="AG52" s="1841"/>
      <c r="AH52" s="1839"/>
      <c r="AI52" s="1838">
        <f t="shared" ref="AI52:AK53" si="47">W52+AA52+AE52</f>
        <v>0</v>
      </c>
      <c r="AJ52" s="1838">
        <f t="shared" si="47"/>
        <v>0</v>
      </c>
      <c r="AK52" s="1838">
        <f t="shared" si="47"/>
        <v>0</v>
      </c>
      <c r="AL52" s="1875"/>
      <c r="AM52" s="1865" t="s">
        <v>1359</v>
      </c>
      <c r="AN52" s="1841"/>
      <c r="AO52" s="1838">
        <f>'[5]int.bevételek RM V '!AJ52</f>
        <v>2419</v>
      </c>
      <c r="AP52" s="1841">
        <v>2419</v>
      </c>
      <c r="AQ52" s="1839">
        <f>AP52/AO52</f>
        <v>1</v>
      </c>
      <c r="AR52" s="1838">
        <f>AN52</f>
        <v>0</v>
      </c>
      <c r="AS52" s="1838">
        <f t="shared" ref="AS52:AT53" si="48">AO52</f>
        <v>2419</v>
      </c>
      <c r="AT52" s="1838">
        <f t="shared" si="48"/>
        <v>2419</v>
      </c>
      <c r="AU52" s="1839">
        <f>AT52/AS52</f>
        <v>1</v>
      </c>
      <c r="AV52" s="1865" t="s">
        <v>1359</v>
      </c>
      <c r="AW52" s="1841">
        <f>[4]int.bevételek2016!L51</f>
        <v>192226</v>
      </c>
      <c r="AX52" s="1838">
        <f>'[5]int.bevételek RM V '!AT52</f>
        <v>196354</v>
      </c>
      <c r="AY52" s="1841">
        <v>177300</v>
      </c>
      <c r="AZ52" s="1839">
        <f>AY52/AX52</f>
        <v>0.90296097864061853</v>
      </c>
      <c r="BA52" s="1841"/>
      <c r="BB52" s="1838">
        <f>'[5]int.bevételek RM V '!AW52</f>
        <v>4708</v>
      </c>
      <c r="BC52" s="1841">
        <v>4179</v>
      </c>
      <c r="BD52" s="1839">
        <f>BC52/BB52</f>
        <v>0.88763806287170777</v>
      </c>
      <c r="BE52" s="1838">
        <f t="shared" ref="BE52:BG53" si="49">AW52+BA52</f>
        <v>192226</v>
      </c>
      <c r="BF52" s="1838">
        <f t="shared" si="49"/>
        <v>201062</v>
      </c>
      <c r="BG52" s="1838">
        <f t="shared" si="49"/>
        <v>181479</v>
      </c>
      <c r="BH52" s="1839">
        <f>BG52/BF52</f>
        <v>0.90260218241139545</v>
      </c>
      <c r="BI52" s="1838">
        <f t="shared" ref="BI52:BK53" si="50">R52+AI52+AR52+BE52</f>
        <v>192226</v>
      </c>
      <c r="BJ52" s="1838">
        <f t="shared" si="50"/>
        <v>204491</v>
      </c>
      <c r="BK52" s="1838">
        <f t="shared" si="50"/>
        <v>185103</v>
      </c>
      <c r="BL52" s="1839">
        <f>BK52/BJ52</f>
        <v>0.90518898142216531</v>
      </c>
      <c r="BM52" s="1824" t="e">
        <f>'[6]éves besz.kiadásai2016'!AQ52-'4 int bevétel'!AK52-'4 int bevétel'!#REF!-BC52</f>
        <v>#REF!</v>
      </c>
      <c r="BN52" s="1824" t="e">
        <f>'[6]éves besz.kiadásai2016'!AP52-'4 int bevétel'!AJ52-'4 int bevétel'!#REF!-BB52</f>
        <v>#REF!</v>
      </c>
    </row>
    <row r="53" spans="1:66" s="1869" customFormat="1" ht="57" customHeight="1" thickBot="1" x14ac:dyDescent="0.65">
      <c r="A53" s="1867" t="s">
        <v>87</v>
      </c>
      <c r="B53" s="1857">
        <f>[4]int.bevételek2016!B52</f>
        <v>16790</v>
      </c>
      <c r="C53" s="1841">
        <f>'[5]int.bevételek RM V '!D53</f>
        <v>27014</v>
      </c>
      <c r="D53" s="1857">
        <v>22428</v>
      </c>
      <c r="E53" s="1842">
        <f>D53/C53</f>
        <v>0.83023617383578885</v>
      </c>
      <c r="F53" s="1857"/>
      <c r="G53" s="1841">
        <f>'[5]int.bevételek RM V '!G53</f>
        <v>11542</v>
      </c>
      <c r="H53" s="1857">
        <v>14754</v>
      </c>
      <c r="I53" s="1842">
        <f>H53/G53</f>
        <v>1.2782879916825507</v>
      </c>
      <c r="J53" s="1857"/>
      <c r="K53" s="1841"/>
      <c r="L53" s="1857"/>
      <c r="M53" s="1842"/>
      <c r="N53" s="1841"/>
      <c r="O53" s="1841">
        <f>'[5]int.bevételek RM V '!$M$53</f>
        <v>800</v>
      </c>
      <c r="P53" s="1841">
        <v>699</v>
      </c>
      <c r="Q53" s="1842">
        <f>P53/O53</f>
        <v>0.87375000000000003</v>
      </c>
      <c r="R53" s="1841">
        <f t="shared" si="46"/>
        <v>16790</v>
      </c>
      <c r="S53" s="1841">
        <f t="shared" si="46"/>
        <v>39356</v>
      </c>
      <c r="T53" s="1841">
        <f t="shared" si="46"/>
        <v>37881</v>
      </c>
      <c r="U53" s="1842">
        <f>T53/S53</f>
        <v>0.96252159772334589</v>
      </c>
      <c r="V53" s="1867" t="s">
        <v>87</v>
      </c>
      <c r="W53" s="1857"/>
      <c r="X53" s="1857">
        <f>'[5]int.bevételek RM V '!$T$53</f>
        <v>5342</v>
      </c>
      <c r="Y53" s="1857">
        <v>5342</v>
      </c>
      <c r="Z53" s="1842">
        <f>Y53/X53</f>
        <v>1</v>
      </c>
      <c r="AA53" s="1857"/>
      <c r="AB53" s="1857"/>
      <c r="AC53" s="1857"/>
      <c r="AD53" s="1842"/>
      <c r="AE53" s="1857"/>
      <c r="AF53" s="1857"/>
      <c r="AG53" s="1857"/>
      <c r="AH53" s="1842"/>
      <c r="AI53" s="1841">
        <f t="shared" si="47"/>
        <v>0</v>
      </c>
      <c r="AJ53" s="1841">
        <f t="shared" si="47"/>
        <v>5342</v>
      </c>
      <c r="AK53" s="1841">
        <f t="shared" si="47"/>
        <v>5342</v>
      </c>
      <c r="AL53" s="1847">
        <f>AK53/AJ53</f>
        <v>1</v>
      </c>
      <c r="AM53" s="1867" t="s">
        <v>87</v>
      </c>
      <c r="AN53" s="1857"/>
      <c r="AO53" s="1841">
        <f>'[5]int.bevételek RM V '!AJ53</f>
        <v>9912</v>
      </c>
      <c r="AP53" s="1857">
        <v>9912</v>
      </c>
      <c r="AQ53" s="1842">
        <f>AP53/AO53</f>
        <v>1</v>
      </c>
      <c r="AR53" s="1838">
        <f>AN53</f>
        <v>0</v>
      </c>
      <c r="AS53" s="1838">
        <f t="shared" si="48"/>
        <v>9912</v>
      </c>
      <c r="AT53" s="1838">
        <f t="shared" si="48"/>
        <v>9912</v>
      </c>
      <c r="AU53" s="1842">
        <f>AT53/AS53</f>
        <v>1</v>
      </c>
      <c r="AV53" s="1867" t="s">
        <v>87</v>
      </c>
      <c r="AW53" s="1857">
        <f>[4]int.bevételek2016!L52</f>
        <v>1683193</v>
      </c>
      <c r="AX53" s="1841">
        <f>'[5]int.bevételek RM V '!AT53</f>
        <v>1727203</v>
      </c>
      <c r="AY53" s="1857">
        <v>1494056</v>
      </c>
      <c r="AZ53" s="1842">
        <f>AY53/AX53</f>
        <v>0.86501470875166386</v>
      </c>
      <c r="BA53" s="1857">
        <f>[4]int.bevételek2016!$M$52</f>
        <v>64800</v>
      </c>
      <c r="BB53" s="1841">
        <f>'[5]int.bevételek RM V '!AW53</f>
        <v>107006</v>
      </c>
      <c r="BC53" s="1857">
        <v>70448</v>
      </c>
      <c r="BD53" s="1868">
        <f>BC53/BB53</f>
        <v>0.65835560622768818</v>
      </c>
      <c r="BE53" s="1841">
        <f t="shared" si="49"/>
        <v>1747993</v>
      </c>
      <c r="BF53" s="1841">
        <f t="shared" si="49"/>
        <v>1834209</v>
      </c>
      <c r="BG53" s="1841">
        <f t="shared" si="49"/>
        <v>1564504</v>
      </c>
      <c r="BH53" s="1842">
        <f>BG53/BF53</f>
        <v>0.85295841422651397</v>
      </c>
      <c r="BI53" s="1841">
        <f t="shared" si="50"/>
        <v>1764783</v>
      </c>
      <c r="BJ53" s="1841">
        <f t="shared" si="50"/>
        <v>1888819</v>
      </c>
      <c r="BK53" s="1841">
        <f t="shared" si="50"/>
        <v>1617639</v>
      </c>
      <c r="BL53" s="1842">
        <f>BK53/BJ53</f>
        <v>0.85642880551286282</v>
      </c>
      <c r="BM53" s="1821" t="e">
        <f>'[6]éves besz.kiadásai2016'!AQ53-'4 int bevétel'!AK53-'4 int bevétel'!#REF!-BC53</f>
        <v>#REF!</v>
      </c>
      <c r="BN53" s="1821" t="e">
        <f>'[6]éves besz.kiadásai2016'!AP53-'4 int bevétel'!AJ53-'4 int bevétel'!#REF!-BB53</f>
        <v>#REF!</v>
      </c>
    </row>
    <row r="54" spans="1:66" ht="57" customHeight="1" thickBot="1" x14ac:dyDescent="0.65">
      <c r="A54" s="1874" t="s">
        <v>261</v>
      </c>
      <c r="B54" s="1845">
        <f>SUM(B51:B53)</f>
        <v>1328950</v>
      </c>
      <c r="C54" s="1845">
        <f>SUM(C51:C53)</f>
        <v>1370971</v>
      </c>
      <c r="D54" s="1845">
        <f>SUM(D51:D53)</f>
        <v>1358724</v>
      </c>
      <c r="E54" s="1846">
        <f>D54/C54</f>
        <v>0.99106691534685998</v>
      </c>
      <c r="F54" s="1845">
        <f>SUM(F51:F53)</f>
        <v>200571</v>
      </c>
      <c r="G54" s="1845">
        <f>SUM(G51:G53)</f>
        <v>359175</v>
      </c>
      <c r="H54" s="1845">
        <f>SUM(H51:H53)</f>
        <v>383020</v>
      </c>
      <c r="I54" s="1846">
        <f>H54/G54</f>
        <v>1.0663882508526483</v>
      </c>
      <c r="J54" s="1845">
        <f>SUM(J51:J53)</f>
        <v>24000</v>
      </c>
      <c r="K54" s="1845">
        <f>SUM(K51:K53)</f>
        <v>36691</v>
      </c>
      <c r="L54" s="1845">
        <f>SUM(L51:L53)</f>
        <v>22995</v>
      </c>
      <c r="M54" s="1846">
        <f>L54/K54</f>
        <v>0.62672044915646885</v>
      </c>
      <c r="N54" s="1845">
        <f>SUM(N51:N53)</f>
        <v>0</v>
      </c>
      <c r="O54" s="1845">
        <f>SUM(O51:O53)</f>
        <v>800</v>
      </c>
      <c r="P54" s="1845">
        <f>SUM(P51:P53)</f>
        <v>699</v>
      </c>
      <c r="Q54" s="1846">
        <f>P54/O54</f>
        <v>0.87375000000000003</v>
      </c>
      <c r="R54" s="1845">
        <f>SUM(R51:R53)</f>
        <v>1553521</v>
      </c>
      <c r="S54" s="1845">
        <f>SUM(S51:S53)</f>
        <v>1767637</v>
      </c>
      <c r="T54" s="1845">
        <f>SUM(T51:T53)</f>
        <v>1765438</v>
      </c>
      <c r="U54" s="1846">
        <f>T54/S54</f>
        <v>0.99875596629851038</v>
      </c>
      <c r="V54" s="1874" t="s">
        <v>261</v>
      </c>
      <c r="W54" s="1845">
        <f>SUM(W51:W53)</f>
        <v>0</v>
      </c>
      <c r="X54" s="1845">
        <f>SUM(X51:X53)</f>
        <v>5446</v>
      </c>
      <c r="Y54" s="1845">
        <f>SUM(Y51:Y53)</f>
        <v>6512</v>
      </c>
      <c r="Z54" s="1846">
        <f>Y54/X54</f>
        <v>1.1957399926551597</v>
      </c>
      <c r="AA54" s="1845">
        <f>SUM(AA51:AA53)</f>
        <v>1270</v>
      </c>
      <c r="AB54" s="1845">
        <f>SUM(AB51:AB53)</f>
        <v>4630</v>
      </c>
      <c r="AC54" s="1845">
        <f>SUM(AC51:AC53)</f>
        <v>4630</v>
      </c>
      <c r="AD54" s="1846">
        <f>AC54/AB54</f>
        <v>1</v>
      </c>
      <c r="AE54" s="1845">
        <f>SUM(AE51:AE53)</f>
        <v>0</v>
      </c>
      <c r="AF54" s="1845">
        <f>SUM(AF51:AF53)</f>
        <v>0</v>
      </c>
      <c r="AG54" s="1845">
        <f>SUM(AG51:AG53)</f>
        <v>0</v>
      </c>
      <c r="AH54" s="1846"/>
      <c r="AI54" s="1845">
        <f>SUM(AI51:AI53)</f>
        <v>1270</v>
      </c>
      <c r="AJ54" s="1845">
        <f>SUM(AJ51:AJ53)</f>
        <v>10076</v>
      </c>
      <c r="AK54" s="1845">
        <f>SUM(AK51:AK53)</f>
        <v>11142</v>
      </c>
      <c r="AL54" s="1846">
        <f>AK54/AJ54</f>
        <v>1.1057959507741166</v>
      </c>
      <c r="AM54" s="1874" t="s">
        <v>261</v>
      </c>
      <c r="AN54" s="1845">
        <f>SUM(AN51:AN53)</f>
        <v>0</v>
      </c>
      <c r="AO54" s="1845">
        <f>SUM(AO51:AO53)</f>
        <v>208760</v>
      </c>
      <c r="AP54" s="1845">
        <f>SUM(AP51:AP53)</f>
        <v>208760</v>
      </c>
      <c r="AQ54" s="1846">
        <f>AP54/AO54</f>
        <v>1</v>
      </c>
      <c r="AR54" s="1845">
        <f>SUM(AR51:AR53)</f>
        <v>0</v>
      </c>
      <c r="AS54" s="1845">
        <f>SUM(AS51:AS53)</f>
        <v>208760</v>
      </c>
      <c r="AT54" s="1845">
        <f>SUM(AT51:AT53)</f>
        <v>208760</v>
      </c>
      <c r="AU54" s="1846">
        <f>AT54/AS54</f>
        <v>1</v>
      </c>
      <c r="AV54" s="1874" t="s">
        <v>261</v>
      </c>
      <c r="AW54" s="1845">
        <f>SUM(AW51:AW53)</f>
        <v>7070622</v>
      </c>
      <c r="AX54" s="1845">
        <f>SUM(AX51:AX53)</f>
        <v>7870863</v>
      </c>
      <c r="AY54" s="1845">
        <f>SUM(AY51:AY53)</f>
        <v>7163867</v>
      </c>
      <c r="AZ54" s="1846">
        <f>AY54/AX54</f>
        <v>0.91017554237699216</v>
      </c>
      <c r="BA54" s="1845">
        <f>SUM(BA51:BA53)</f>
        <v>81703</v>
      </c>
      <c r="BB54" s="1845">
        <f>SUM(BB51:BB53)</f>
        <v>600999</v>
      </c>
      <c r="BC54" s="1845">
        <f>SUM(BC51:BC53)</f>
        <v>520695</v>
      </c>
      <c r="BD54" s="1846">
        <f>BC54/BB54</f>
        <v>0.86638247318215167</v>
      </c>
      <c r="BE54" s="1845">
        <f>SUM(BE51:BE53)</f>
        <v>7152325</v>
      </c>
      <c r="BF54" s="1845">
        <f>SUM(BF51:BF53)</f>
        <v>8471862</v>
      </c>
      <c r="BG54" s="1845">
        <f>SUM(BG51:BG53)</f>
        <v>7684562</v>
      </c>
      <c r="BH54" s="1846">
        <f>BG54/BF54</f>
        <v>0.90706883563495255</v>
      </c>
      <c r="BI54" s="1845">
        <f>SUM(BI51:BI53)</f>
        <v>8707116</v>
      </c>
      <c r="BJ54" s="1845">
        <f>SUM(BJ51:BJ53)</f>
        <v>10458335</v>
      </c>
      <c r="BK54" s="1845">
        <f>SUM(BK51:BK53)</f>
        <v>9669902</v>
      </c>
      <c r="BL54" s="1846">
        <f>BK54/BJ54</f>
        <v>0.92461199607776956</v>
      </c>
    </row>
    <row r="55" spans="1:66" s="1881" customFormat="1" ht="49.5" customHeight="1" x14ac:dyDescent="0.6">
      <c r="A55" s="1876"/>
      <c r="B55" s="1877"/>
      <c r="C55" s="1877"/>
      <c r="D55" s="1877"/>
      <c r="E55" s="1877"/>
      <c r="F55" s="1877"/>
      <c r="G55" s="1877"/>
      <c r="H55" s="1877"/>
      <c r="I55" s="1877"/>
      <c r="J55" s="1877"/>
      <c r="K55" s="1877"/>
      <c r="L55" s="1877"/>
      <c r="M55" s="1877"/>
      <c r="N55" s="1877"/>
      <c r="O55" s="1877"/>
      <c r="P55" s="1877"/>
      <c r="Q55" s="1877"/>
      <c r="R55" s="1877"/>
      <c r="S55" s="1877"/>
      <c r="T55" s="1877"/>
      <c r="U55" s="1877"/>
      <c r="V55" s="1878"/>
      <c r="W55" s="1877"/>
      <c r="X55" s="1877"/>
      <c r="Y55" s="1877"/>
      <c r="Z55" s="1877"/>
      <c r="AA55" s="1877"/>
      <c r="AB55" s="1877"/>
      <c r="AC55" s="1877"/>
      <c r="AD55" s="1877"/>
      <c r="AE55" s="1877"/>
      <c r="AF55" s="1877"/>
      <c r="AG55" s="1877"/>
      <c r="AH55" s="1877"/>
      <c r="AI55" s="1877"/>
      <c r="AJ55" s="1877"/>
      <c r="AK55" s="1877"/>
      <c r="AL55" s="1877"/>
      <c r="AM55" s="1878"/>
      <c r="AN55" s="1878"/>
      <c r="AO55" s="1878"/>
      <c r="AP55" s="1878"/>
      <c r="AQ55" s="1878"/>
      <c r="AR55" s="1878"/>
      <c r="AS55" s="1878"/>
      <c r="AT55" s="1878"/>
      <c r="AU55" s="1878"/>
      <c r="AV55" s="1878"/>
      <c r="AW55" s="1878"/>
      <c r="AX55" s="1878"/>
      <c r="AY55" s="1878"/>
      <c r="AZ55" s="1878"/>
      <c r="BA55" s="1878"/>
      <c r="BB55" s="1878"/>
      <c r="BC55" s="1878"/>
      <c r="BD55" s="1878"/>
      <c r="BE55" s="1878"/>
      <c r="BF55" s="1878"/>
      <c r="BG55" s="1879"/>
      <c r="BH55" s="1879"/>
      <c r="BI55" s="1879"/>
      <c r="BJ55" s="1879"/>
      <c r="BK55" s="1880"/>
      <c r="BL55" s="1880"/>
      <c r="BM55" s="1881">
        <f>+D54+H54+L54+P54+Y54+AC54+AG54+AP54+AY54+BC54</f>
        <v>9669902</v>
      </c>
    </row>
    <row r="56" spans="1:66" s="1881" customFormat="1" ht="47.25" customHeight="1" x14ac:dyDescent="0.6">
      <c r="A56" s="1882"/>
      <c r="B56" s="1877">
        <f>[4]int.bevételek2016!B53</f>
        <v>1328950</v>
      </c>
      <c r="C56" s="1877">
        <f>'[5]int.bevételek RM V '!$D$54</f>
        <v>1370976</v>
      </c>
      <c r="D56" s="1877"/>
      <c r="E56" s="1877"/>
      <c r="F56" s="1877">
        <f>[4]int.bevételek2016!$C$53</f>
        <v>200571</v>
      </c>
      <c r="G56" s="1877">
        <f>'[5]int.bevételek RM V '!$G$54</f>
        <v>359175</v>
      </c>
      <c r="H56" s="1877"/>
      <c r="I56" s="1877"/>
      <c r="J56" s="1877">
        <f>[4]int.bevételek2016!$D$53</f>
        <v>24000</v>
      </c>
      <c r="K56" s="1877">
        <f>'[5]int.bevételek RM V '!$J$54</f>
        <v>36691</v>
      </c>
      <c r="L56" s="1877"/>
      <c r="M56" s="1877"/>
      <c r="N56" s="1877">
        <f>[4]int.bevételek2016!$E$53</f>
        <v>0</v>
      </c>
      <c r="O56" s="1877">
        <f>'[5]int.bevételek RM V '!$M$54</f>
        <v>800</v>
      </c>
      <c r="P56" s="1877"/>
      <c r="Q56" s="1877"/>
      <c r="R56" s="1877">
        <f>[4]int.bevételek2016!$F$53</f>
        <v>1553521</v>
      </c>
      <c r="S56" s="1877">
        <f>'[5]int.bevételek RM V '!$P$54</f>
        <v>1767642</v>
      </c>
      <c r="T56" s="1877">
        <f>D56+H56+L56+P56</f>
        <v>0</v>
      </c>
      <c r="U56" s="1877"/>
      <c r="V56" s="1883"/>
      <c r="W56" s="1877">
        <f>[4]int.bevételek2016!$H$53</f>
        <v>0</v>
      </c>
      <c r="X56" s="1877">
        <f>'[5]int.bevételek RM V '!$T$54</f>
        <v>5446</v>
      </c>
      <c r="Y56" s="1877"/>
      <c r="Z56" s="1877"/>
      <c r="AA56" s="1877">
        <f>[4]int.bevételek2016!$I$53</f>
        <v>1270</v>
      </c>
      <c r="AB56" s="1877">
        <f>'[5]int.bevételek RM V '!$W$54</f>
        <v>4630</v>
      </c>
      <c r="AC56" s="1877"/>
      <c r="AD56" s="1877"/>
      <c r="AE56" s="1877">
        <f>[4]int.bevételek2016!$J$53</f>
        <v>0</v>
      </c>
      <c r="AF56" s="1877">
        <f>'[5]int.bevételek RM V '!$Z$54</f>
        <v>0</v>
      </c>
      <c r="AG56" s="1877"/>
      <c r="AH56" s="1877"/>
      <c r="AI56" s="1877">
        <f>[4]int.bevételek2016!$K$53</f>
        <v>1270</v>
      </c>
      <c r="AJ56" s="1877">
        <f>'[5]int.bevételek RM V '!$AC$54</f>
        <v>10076</v>
      </c>
      <c r="AK56" s="1877">
        <f>Y56+AC56+AG56</f>
        <v>0</v>
      </c>
      <c r="AL56" s="1877"/>
      <c r="AM56" s="1883"/>
      <c r="AN56" s="1883"/>
      <c r="AO56" s="1884">
        <f>'[5]int.bevételek RM V '!$AJ$54</f>
        <v>208755</v>
      </c>
      <c r="AP56" s="1884"/>
      <c r="AQ56" s="1883"/>
      <c r="AR56" s="1883"/>
      <c r="AS56" s="1884">
        <f>'[5]int.bevételek RM V '!$AP$54</f>
        <v>208755</v>
      </c>
      <c r="AT56" s="1884"/>
      <c r="AU56" s="1883"/>
      <c r="AV56" s="1883"/>
      <c r="AW56" s="1884">
        <f>[4]int.bevételek2016!$L$53</f>
        <v>7070622</v>
      </c>
      <c r="AX56" s="1884">
        <f>'[5]int.bevételek RM V '!$AT$54</f>
        <v>7870863</v>
      </c>
      <c r="AY56" s="1884"/>
      <c r="AZ56" s="1883"/>
      <c r="BA56" s="1884">
        <f>[4]int.bevételek2016!$M$53</f>
        <v>81703</v>
      </c>
      <c r="BB56" s="1884">
        <f>'[5]int.bevételek RM V '!$AW$54</f>
        <v>600999</v>
      </c>
      <c r="BC56" s="1884"/>
      <c r="BD56" s="1883"/>
      <c r="BE56" s="1884">
        <f>[4]int.bevételek2016!$N$53</f>
        <v>7152325</v>
      </c>
      <c r="BF56" s="1884">
        <f>'[5]int.bevételek RM V '!$AZ$54</f>
        <v>8471862</v>
      </c>
      <c r="BG56" s="1879"/>
      <c r="BH56" s="1879"/>
      <c r="BI56" s="1879">
        <f>[4]int.bevételek2016!$O$53</f>
        <v>8707116</v>
      </c>
      <c r="BJ56" s="1879">
        <f>'[5]int.bevételek RM V '!$BC$54</f>
        <v>10458335</v>
      </c>
      <c r="BK56" s="1877"/>
      <c r="BL56" s="1877"/>
    </row>
    <row r="57" spans="1:66" s="1881" customFormat="1" ht="47.25" customHeight="1" x14ac:dyDescent="0.6">
      <c r="A57" s="1882"/>
      <c r="B57" s="1877">
        <f>B54-B56</f>
        <v>0</v>
      </c>
      <c r="C57" s="1877">
        <f>C54-C56</f>
        <v>-5</v>
      </c>
      <c r="D57" s="1877">
        <f>D54-D56</f>
        <v>1358724</v>
      </c>
      <c r="E57" s="1877"/>
      <c r="F57" s="1877">
        <f>F54-F56</f>
        <v>0</v>
      </c>
      <c r="G57" s="1877">
        <f>G54-G56</f>
        <v>0</v>
      </c>
      <c r="H57" s="1877">
        <f>H54-H56</f>
        <v>383020</v>
      </c>
      <c r="I57" s="1877"/>
      <c r="J57" s="1877">
        <f>J54-J56</f>
        <v>0</v>
      </c>
      <c r="K57" s="1877">
        <f>K54-K56</f>
        <v>0</v>
      </c>
      <c r="L57" s="1877">
        <f>L54-L56</f>
        <v>22995</v>
      </c>
      <c r="M57" s="1877"/>
      <c r="N57" s="1877">
        <f>N54-N56</f>
        <v>0</v>
      </c>
      <c r="O57" s="1877">
        <f>O54-O56</f>
        <v>0</v>
      </c>
      <c r="P57" s="1877">
        <f>P54-P56</f>
        <v>699</v>
      </c>
      <c r="Q57" s="1877"/>
      <c r="R57" s="1877">
        <f>R54-R56</f>
        <v>0</v>
      </c>
      <c r="S57" s="1877">
        <f>S54-S56</f>
        <v>-5</v>
      </c>
      <c r="T57" s="1877">
        <f>T54-T56</f>
        <v>1765438</v>
      </c>
      <c r="U57" s="1877"/>
      <c r="V57" s="1877"/>
      <c r="W57" s="1877">
        <f>W54-W56</f>
        <v>0</v>
      </c>
      <c r="X57" s="1877">
        <f>X54-X56</f>
        <v>0</v>
      </c>
      <c r="Y57" s="1877">
        <f>Y54-Y56</f>
        <v>6512</v>
      </c>
      <c r="Z57" s="1877"/>
      <c r="AA57" s="1877">
        <f>AA54-AA56</f>
        <v>0</v>
      </c>
      <c r="AB57" s="1877">
        <f>AB54-AB56</f>
        <v>0</v>
      </c>
      <c r="AC57" s="1877">
        <f>AC54-AC56</f>
        <v>4630</v>
      </c>
      <c r="AD57" s="1877"/>
      <c r="AE57" s="1877">
        <f>AE54-AE56</f>
        <v>0</v>
      </c>
      <c r="AF57" s="1877">
        <f>AF54-AF56</f>
        <v>0</v>
      </c>
      <c r="AG57" s="1877">
        <f>AG54-AG56</f>
        <v>0</v>
      </c>
      <c r="AH57" s="1877"/>
      <c r="AI57" s="1877">
        <f>AI54-AI56</f>
        <v>0</v>
      </c>
      <c r="AJ57" s="1877">
        <f>AJ54-AJ56</f>
        <v>0</v>
      </c>
      <c r="AK57" s="1877">
        <f>AK54-AK56</f>
        <v>11142</v>
      </c>
      <c r="AL57" s="1877"/>
      <c r="AM57" s="1877"/>
      <c r="AN57" s="1877">
        <f>AN54-AN56</f>
        <v>0</v>
      </c>
      <c r="AO57" s="1877">
        <f>AO54-AO56</f>
        <v>5</v>
      </c>
      <c r="AP57" s="1877">
        <f>AP54-AP56</f>
        <v>208760</v>
      </c>
      <c r="AQ57" s="1877"/>
      <c r="AR57" s="1877">
        <f>AR54-AR56</f>
        <v>0</v>
      </c>
      <c r="AS57" s="1877">
        <f>AS54-AS56</f>
        <v>5</v>
      </c>
      <c r="AT57" s="1877">
        <f>AT54-AT56</f>
        <v>208760</v>
      </c>
      <c r="AU57" s="1877"/>
      <c r="AV57" s="1877"/>
      <c r="AW57" s="1877">
        <f>AW54-AW56</f>
        <v>0</v>
      </c>
      <c r="AX57" s="1877">
        <f>AX54-AX56</f>
        <v>0</v>
      </c>
      <c r="AY57" s="1877">
        <f>AY54-AY56</f>
        <v>7163867</v>
      </c>
      <c r="AZ57" s="1877"/>
      <c r="BA57" s="1877">
        <f>BA54-BA56</f>
        <v>0</v>
      </c>
      <c r="BB57" s="1877">
        <f>BB54-BB56</f>
        <v>0</v>
      </c>
      <c r="BC57" s="1877">
        <f>BC54-BC56</f>
        <v>520695</v>
      </c>
      <c r="BD57" s="1877"/>
      <c r="BE57" s="1877">
        <f>BE54-BE56</f>
        <v>0</v>
      </c>
      <c r="BF57" s="1877">
        <f>BF54-BF56</f>
        <v>0</v>
      </c>
      <c r="BG57" s="1877">
        <f>BG54-BG56</f>
        <v>7684562</v>
      </c>
      <c r="BH57" s="1877"/>
      <c r="BI57" s="1877">
        <f>BI54-BI56</f>
        <v>0</v>
      </c>
      <c r="BJ57" s="1877">
        <f>BJ54-BJ56</f>
        <v>0</v>
      </c>
      <c r="BK57" s="1877">
        <f>BK54-BK56</f>
        <v>9669902</v>
      </c>
      <c r="BL57" s="1877"/>
    </row>
    <row r="58" spans="1:66" ht="26.45" customHeight="1" x14ac:dyDescent="0.6">
      <c r="A58" s="1885"/>
      <c r="B58" s="1886"/>
      <c r="C58" s="1886"/>
      <c r="D58" s="1886"/>
      <c r="E58" s="1886"/>
      <c r="F58" s="1886"/>
      <c r="G58" s="1886"/>
      <c r="H58" s="1886"/>
      <c r="I58" s="1886"/>
      <c r="J58" s="1886"/>
      <c r="K58" s="1886"/>
      <c r="L58" s="1886"/>
      <c r="M58" s="1886"/>
      <c r="N58" s="1886"/>
      <c r="O58" s="1886"/>
      <c r="P58" s="1886"/>
      <c r="Q58" s="1886"/>
      <c r="R58" s="1886"/>
      <c r="S58" s="1886"/>
      <c r="T58" s="1886"/>
      <c r="U58" s="1886"/>
      <c r="V58" s="1887"/>
      <c r="W58" s="1886"/>
      <c r="X58" s="1886"/>
      <c r="Y58" s="1886"/>
      <c r="Z58" s="1886"/>
      <c r="AA58" s="1886"/>
      <c r="AB58" s="1886"/>
      <c r="AC58" s="1886"/>
      <c r="AD58" s="1886"/>
      <c r="AE58" s="1886"/>
      <c r="AF58" s="1886"/>
      <c r="AG58" s="1886"/>
      <c r="AH58" s="1886"/>
      <c r="AI58" s="1886"/>
      <c r="AJ58" s="1886"/>
      <c r="AK58" s="1886"/>
      <c r="AL58" s="1886"/>
      <c r="AM58" s="1887"/>
      <c r="AN58" s="1887"/>
      <c r="AO58" s="1887"/>
      <c r="AP58" s="1887"/>
      <c r="AQ58" s="1887"/>
      <c r="AR58" s="1887"/>
      <c r="AS58" s="1887"/>
      <c r="AT58" s="1887"/>
      <c r="AU58" s="1887"/>
      <c r="AV58" s="1887"/>
      <c r="AW58" s="1887"/>
      <c r="AX58" s="1887"/>
      <c r="AY58" s="1887"/>
      <c r="AZ58" s="1887"/>
      <c r="BA58" s="1887"/>
      <c r="BB58" s="1887"/>
      <c r="BC58" s="1887"/>
      <c r="BD58" s="1887"/>
      <c r="BE58" s="1887"/>
      <c r="BF58" s="1887"/>
      <c r="BG58" s="1888"/>
      <c r="BH58" s="1888"/>
      <c r="BI58" s="1888"/>
      <c r="BJ58" s="1888"/>
      <c r="BK58" s="1886"/>
      <c r="BL58" s="1886"/>
    </row>
    <row r="59" spans="1:66" ht="26.45" customHeight="1" x14ac:dyDescent="0.6">
      <c r="A59" s="1885"/>
      <c r="B59" s="1886"/>
      <c r="C59" s="1886"/>
      <c r="D59" s="1886"/>
      <c r="E59" s="1886"/>
      <c r="F59" s="1886"/>
      <c r="G59" s="1886"/>
      <c r="H59" s="1886"/>
      <c r="I59" s="1886"/>
      <c r="J59" s="1886"/>
      <c r="K59" s="1886"/>
      <c r="L59" s="1886"/>
      <c r="M59" s="1886"/>
      <c r="N59" s="1886"/>
      <c r="O59" s="1886"/>
      <c r="P59" s="1886"/>
      <c r="Q59" s="1886"/>
      <c r="R59" s="1886"/>
      <c r="S59" s="1886"/>
      <c r="T59" s="1886"/>
      <c r="U59" s="1886"/>
      <c r="V59" s="1887"/>
      <c r="W59" s="1886"/>
      <c r="X59" s="1886"/>
      <c r="Y59" s="1886"/>
      <c r="Z59" s="1886"/>
      <c r="AA59" s="1886"/>
      <c r="AB59" s="1886"/>
      <c r="AC59" s="1886"/>
      <c r="AD59" s="1886"/>
      <c r="AE59" s="1886"/>
      <c r="AF59" s="1886"/>
      <c r="AG59" s="1886"/>
      <c r="AH59" s="1886"/>
      <c r="AI59" s="1886"/>
      <c r="AJ59" s="1886"/>
      <c r="AK59" s="1886"/>
      <c r="AL59" s="1886"/>
      <c r="AM59" s="1887"/>
      <c r="AN59" s="1887"/>
      <c r="AO59" s="1887"/>
      <c r="AP59" s="1887"/>
      <c r="AQ59" s="1887"/>
      <c r="AR59" s="1887"/>
      <c r="AS59" s="1887"/>
      <c r="AT59" s="1887"/>
      <c r="AU59" s="1887"/>
      <c r="AV59" s="1887"/>
      <c r="AW59" s="1887"/>
      <c r="AX59" s="1887"/>
      <c r="AY59" s="1887"/>
      <c r="AZ59" s="1887"/>
      <c r="BA59" s="1887"/>
      <c r="BB59" s="1887"/>
      <c r="BC59" s="1887"/>
      <c r="BD59" s="1887"/>
      <c r="BE59" s="1887"/>
      <c r="BF59" s="1887"/>
      <c r="BG59" s="1888"/>
      <c r="BH59" s="1888"/>
      <c r="BI59" s="1888"/>
      <c r="BJ59" s="1888"/>
      <c r="BK59" s="1886"/>
      <c r="BL59" s="1886"/>
    </row>
    <row r="60" spans="1:66" ht="26.45" customHeight="1" x14ac:dyDescent="0.6">
      <c r="A60" s="1885"/>
      <c r="V60" s="1887"/>
      <c r="AM60" s="1887"/>
      <c r="AN60" s="1885"/>
      <c r="AO60" s="1885"/>
      <c r="AP60" s="1885"/>
      <c r="AQ60" s="1885"/>
      <c r="AR60" s="1885"/>
      <c r="AS60" s="1885"/>
      <c r="AT60" s="1885"/>
      <c r="AU60" s="1885"/>
      <c r="AV60" s="1887"/>
      <c r="AW60" s="1885"/>
      <c r="AX60" s="1885"/>
      <c r="AY60" s="1885"/>
      <c r="AZ60" s="1885"/>
      <c r="BA60" s="1885"/>
      <c r="BB60" s="1885"/>
      <c r="BC60" s="1885"/>
      <c r="BD60" s="1885"/>
      <c r="BE60" s="1885"/>
      <c r="BF60" s="1885"/>
    </row>
  </sheetData>
  <mergeCells count="26">
    <mergeCell ref="BM3:BT3"/>
    <mergeCell ref="A4:U4"/>
    <mergeCell ref="V4:AL4"/>
    <mergeCell ref="AM4:AU4"/>
    <mergeCell ref="AV4:BL4"/>
    <mergeCell ref="BM4:BT4"/>
    <mergeCell ref="A3:U3"/>
    <mergeCell ref="V3:AL3"/>
    <mergeCell ref="AM3:AU3"/>
    <mergeCell ref="AV3:BL3"/>
    <mergeCell ref="B6:E7"/>
    <mergeCell ref="F6:I7"/>
    <mergeCell ref="J6:M7"/>
    <mergeCell ref="N6:Q7"/>
    <mergeCell ref="R6:U7"/>
    <mergeCell ref="W6:Z7"/>
    <mergeCell ref="BI6:BL7"/>
    <mergeCell ref="AW7:AZ7"/>
    <mergeCell ref="BA7:BD7"/>
    <mergeCell ref="AW6:BD6"/>
    <mergeCell ref="AN6:AQ7"/>
    <mergeCell ref="AA6:AD7"/>
    <mergeCell ref="AE6:AH7"/>
    <mergeCell ref="AI6:AL7"/>
    <mergeCell ref="AR6:AU7"/>
    <mergeCell ref="BE6:BH7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&amp;L&amp;20
&amp;R&amp;26
&amp;28 &amp;33 &amp;"Times New Roman CE,Félkövér"&amp;36 &amp;38 &amp;44 4.melléklet</oddHeader>
    <oddFooter xml:space="preserve">&amp;C &amp;R
&amp;36 &amp;10
</oddFooter>
  </headerFooter>
  <colBreaks count="3" manualBreakCount="3">
    <brk id="21" max="53" man="1"/>
    <brk id="38" max="53" man="1"/>
    <brk id="47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view="pageBreakPreview" topLeftCell="A34" zoomScale="75" zoomScaleNormal="75" zoomScaleSheetLayoutView="75" workbookViewId="0">
      <selection sqref="A1:E1"/>
    </sheetView>
  </sheetViews>
  <sheetFormatPr defaultColWidth="9.33203125" defaultRowHeight="12.95" customHeight="1" x14ac:dyDescent="0.2"/>
  <cols>
    <col min="1" max="1" width="119.5" style="2519" customWidth="1"/>
    <col min="2" max="2" width="27.6640625" style="2516" customWidth="1"/>
    <col min="3" max="3" width="24.6640625" style="2518" customWidth="1"/>
    <col min="4" max="5" width="24.6640625" style="2516" customWidth="1"/>
    <col min="6" max="256" width="9.33203125" style="2516"/>
    <col min="257" max="257" width="116" style="2516" customWidth="1"/>
    <col min="258" max="258" width="27.6640625" style="2516" customWidth="1"/>
    <col min="259" max="261" width="24.6640625" style="2516" customWidth="1"/>
    <col min="262" max="512" width="9.33203125" style="2516"/>
    <col min="513" max="513" width="116" style="2516" customWidth="1"/>
    <col min="514" max="514" width="27.6640625" style="2516" customWidth="1"/>
    <col min="515" max="517" width="24.6640625" style="2516" customWidth="1"/>
    <col min="518" max="768" width="9.33203125" style="2516"/>
    <col min="769" max="769" width="116" style="2516" customWidth="1"/>
    <col min="770" max="770" width="27.6640625" style="2516" customWidth="1"/>
    <col min="771" max="773" width="24.6640625" style="2516" customWidth="1"/>
    <col min="774" max="1024" width="9.33203125" style="2516"/>
    <col min="1025" max="1025" width="116" style="2516" customWidth="1"/>
    <col min="1026" max="1026" width="27.6640625" style="2516" customWidth="1"/>
    <col min="1027" max="1029" width="24.6640625" style="2516" customWidth="1"/>
    <col min="1030" max="1280" width="9.33203125" style="2516"/>
    <col min="1281" max="1281" width="116" style="2516" customWidth="1"/>
    <col min="1282" max="1282" width="27.6640625" style="2516" customWidth="1"/>
    <col min="1283" max="1285" width="24.6640625" style="2516" customWidth="1"/>
    <col min="1286" max="1536" width="9.33203125" style="2516"/>
    <col min="1537" max="1537" width="116" style="2516" customWidth="1"/>
    <col min="1538" max="1538" width="27.6640625" style="2516" customWidth="1"/>
    <col min="1539" max="1541" width="24.6640625" style="2516" customWidth="1"/>
    <col min="1542" max="1792" width="9.33203125" style="2516"/>
    <col min="1793" max="1793" width="116" style="2516" customWidth="1"/>
    <col min="1794" max="1794" width="27.6640625" style="2516" customWidth="1"/>
    <col min="1795" max="1797" width="24.6640625" style="2516" customWidth="1"/>
    <col min="1798" max="2048" width="9.33203125" style="2516"/>
    <col min="2049" max="2049" width="116" style="2516" customWidth="1"/>
    <col min="2050" max="2050" width="27.6640625" style="2516" customWidth="1"/>
    <col min="2051" max="2053" width="24.6640625" style="2516" customWidth="1"/>
    <col min="2054" max="2304" width="9.33203125" style="2516"/>
    <col min="2305" max="2305" width="116" style="2516" customWidth="1"/>
    <col min="2306" max="2306" width="27.6640625" style="2516" customWidth="1"/>
    <col min="2307" max="2309" width="24.6640625" style="2516" customWidth="1"/>
    <col min="2310" max="2560" width="9.33203125" style="2516"/>
    <col min="2561" max="2561" width="116" style="2516" customWidth="1"/>
    <col min="2562" max="2562" width="27.6640625" style="2516" customWidth="1"/>
    <col min="2563" max="2565" width="24.6640625" style="2516" customWidth="1"/>
    <col min="2566" max="2816" width="9.33203125" style="2516"/>
    <col min="2817" max="2817" width="116" style="2516" customWidth="1"/>
    <col min="2818" max="2818" width="27.6640625" style="2516" customWidth="1"/>
    <col min="2819" max="2821" width="24.6640625" style="2516" customWidth="1"/>
    <col min="2822" max="3072" width="9.33203125" style="2516"/>
    <col min="3073" max="3073" width="116" style="2516" customWidth="1"/>
    <col min="3074" max="3074" width="27.6640625" style="2516" customWidth="1"/>
    <col min="3075" max="3077" width="24.6640625" style="2516" customWidth="1"/>
    <col min="3078" max="3328" width="9.33203125" style="2516"/>
    <col min="3329" max="3329" width="116" style="2516" customWidth="1"/>
    <col min="3330" max="3330" width="27.6640625" style="2516" customWidth="1"/>
    <col min="3331" max="3333" width="24.6640625" style="2516" customWidth="1"/>
    <col min="3334" max="3584" width="9.33203125" style="2516"/>
    <col min="3585" max="3585" width="116" style="2516" customWidth="1"/>
    <col min="3586" max="3586" width="27.6640625" style="2516" customWidth="1"/>
    <col min="3587" max="3589" width="24.6640625" style="2516" customWidth="1"/>
    <col min="3590" max="3840" width="9.33203125" style="2516"/>
    <col min="3841" max="3841" width="116" style="2516" customWidth="1"/>
    <col min="3842" max="3842" width="27.6640625" style="2516" customWidth="1"/>
    <col min="3843" max="3845" width="24.6640625" style="2516" customWidth="1"/>
    <col min="3846" max="4096" width="9.33203125" style="2516"/>
    <col min="4097" max="4097" width="116" style="2516" customWidth="1"/>
    <col min="4098" max="4098" width="27.6640625" style="2516" customWidth="1"/>
    <col min="4099" max="4101" width="24.6640625" style="2516" customWidth="1"/>
    <col min="4102" max="4352" width="9.33203125" style="2516"/>
    <col min="4353" max="4353" width="116" style="2516" customWidth="1"/>
    <col min="4354" max="4354" width="27.6640625" style="2516" customWidth="1"/>
    <col min="4355" max="4357" width="24.6640625" style="2516" customWidth="1"/>
    <col min="4358" max="4608" width="9.33203125" style="2516"/>
    <col min="4609" max="4609" width="116" style="2516" customWidth="1"/>
    <col min="4610" max="4610" width="27.6640625" style="2516" customWidth="1"/>
    <col min="4611" max="4613" width="24.6640625" style="2516" customWidth="1"/>
    <col min="4614" max="4864" width="9.33203125" style="2516"/>
    <col min="4865" max="4865" width="116" style="2516" customWidth="1"/>
    <col min="4866" max="4866" width="27.6640625" style="2516" customWidth="1"/>
    <col min="4867" max="4869" width="24.6640625" style="2516" customWidth="1"/>
    <col min="4870" max="5120" width="9.33203125" style="2516"/>
    <col min="5121" max="5121" width="116" style="2516" customWidth="1"/>
    <col min="5122" max="5122" width="27.6640625" style="2516" customWidth="1"/>
    <col min="5123" max="5125" width="24.6640625" style="2516" customWidth="1"/>
    <col min="5126" max="5376" width="9.33203125" style="2516"/>
    <col min="5377" max="5377" width="116" style="2516" customWidth="1"/>
    <col min="5378" max="5378" width="27.6640625" style="2516" customWidth="1"/>
    <col min="5379" max="5381" width="24.6640625" style="2516" customWidth="1"/>
    <col min="5382" max="5632" width="9.33203125" style="2516"/>
    <col min="5633" max="5633" width="116" style="2516" customWidth="1"/>
    <col min="5634" max="5634" width="27.6640625" style="2516" customWidth="1"/>
    <col min="5635" max="5637" width="24.6640625" style="2516" customWidth="1"/>
    <col min="5638" max="5888" width="9.33203125" style="2516"/>
    <col min="5889" max="5889" width="116" style="2516" customWidth="1"/>
    <col min="5890" max="5890" width="27.6640625" style="2516" customWidth="1"/>
    <col min="5891" max="5893" width="24.6640625" style="2516" customWidth="1"/>
    <col min="5894" max="6144" width="9.33203125" style="2516"/>
    <col min="6145" max="6145" width="116" style="2516" customWidth="1"/>
    <col min="6146" max="6146" width="27.6640625" style="2516" customWidth="1"/>
    <col min="6147" max="6149" width="24.6640625" style="2516" customWidth="1"/>
    <col min="6150" max="6400" width="9.33203125" style="2516"/>
    <col min="6401" max="6401" width="116" style="2516" customWidth="1"/>
    <col min="6402" max="6402" width="27.6640625" style="2516" customWidth="1"/>
    <col min="6403" max="6405" width="24.6640625" style="2516" customWidth="1"/>
    <col min="6406" max="6656" width="9.33203125" style="2516"/>
    <col min="6657" max="6657" width="116" style="2516" customWidth="1"/>
    <col min="6658" max="6658" width="27.6640625" style="2516" customWidth="1"/>
    <col min="6659" max="6661" width="24.6640625" style="2516" customWidth="1"/>
    <col min="6662" max="6912" width="9.33203125" style="2516"/>
    <col min="6913" max="6913" width="116" style="2516" customWidth="1"/>
    <col min="6914" max="6914" width="27.6640625" style="2516" customWidth="1"/>
    <col min="6915" max="6917" width="24.6640625" style="2516" customWidth="1"/>
    <col min="6918" max="7168" width="9.33203125" style="2516"/>
    <col min="7169" max="7169" width="116" style="2516" customWidth="1"/>
    <col min="7170" max="7170" width="27.6640625" style="2516" customWidth="1"/>
    <col min="7171" max="7173" width="24.6640625" style="2516" customWidth="1"/>
    <col min="7174" max="7424" width="9.33203125" style="2516"/>
    <col min="7425" max="7425" width="116" style="2516" customWidth="1"/>
    <col min="7426" max="7426" width="27.6640625" style="2516" customWidth="1"/>
    <col min="7427" max="7429" width="24.6640625" style="2516" customWidth="1"/>
    <col min="7430" max="7680" width="9.33203125" style="2516"/>
    <col min="7681" max="7681" width="116" style="2516" customWidth="1"/>
    <col min="7682" max="7682" width="27.6640625" style="2516" customWidth="1"/>
    <col min="7683" max="7685" width="24.6640625" style="2516" customWidth="1"/>
    <col min="7686" max="7936" width="9.33203125" style="2516"/>
    <col min="7937" max="7937" width="116" style="2516" customWidth="1"/>
    <col min="7938" max="7938" width="27.6640625" style="2516" customWidth="1"/>
    <col min="7939" max="7941" width="24.6640625" style="2516" customWidth="1"/>
    <col min="7942" max="8192" width="9.33203125" style="2516"/>
    <col min="8193" max="8193" width="116" style="2516" customWidth="1"/>
    <col min="8194" max="8194" width="27.6640625" style="2516" customWidth="1"/>
    <col min="8195" max="8197" width="24.6640625" style="2516" customWidth="1"/>
    <col min="8198" max="8448" width="9.33203125" style="2516"/>
    <col min="8449" max="8449" width="116" style="2516" customWidth="1"/>
    <col min="8450" max="8450" width="27.6640625" style="2516" customWidth="1"/>
    <col min="8451" max="8453" width="24.6640625" style="2516" customWidth="1"/>
    <col min="8454" max="8704" width="9.33203125" style="2516"/>
    <col min="8705" max="8705" width="116" style="2516" customWidth="1"/>
    <col min="8706" max="8706" width="27.6640625" style="2516" customWidth="1"/>
    <col min="8707" max="8709" width="24.6640625" style="2516" customWidth="1"/>
    <col min="8710" max="8960" width="9.33203125" style="2516"/>
    <col min="8961" max="8961" width="116" style="2516" customWidth="1"/>
    <col min="8962" max="8962" width="27.6640625" style="2516" customWidth="1"/>
    <col min="8963" max="8965" width="24.6640625" style="2516" customWidth="1"/>
    <col min="8966" max="9216" width="9.33203125" style="2516"/>
    <col min="9217" max="9217" width="116" style="2516" customWidth="1"/>
    <col min="9218" max="9218" width="27.6640625" style="2516" customWidth="1"/>
    <col min="9219" max="9221" width="24.6640625" style="2516" customWidth="1"/>
    <col min="9222" max="9472" width="9.33203125" style="2516"/>
    <col min="9473" max="9473" width="116" style="2516" customWidth="1"/>
    <col min="9474" max="9474" width="27.6640625" style="2516" customWidth="1"/>
    <col min="9475" max="9477" width="24.6640625" style="2516" customWidth="1"/>
    <col min="9478" max="9728" width="9.33203125" style="2516"/>
    <col min="9729" max="9729" width="116" style="2516" customWidth="1"/>
    <col min="9730" max="9730" width="27.6640625" style="2516" customWidth="1"/>
    <col min="9731" max="9733" width="24.6640625" style="2516" customWidth="1"/>
    <col min="9734" max="9984" width="9.33203125" style="2516"/>
    <col min="9985" max="9985" width="116" style="2516" customWidth="1"/>
    <col min="9986" max="9986" width="27.6640625" style="2516" customWidth="1"/>
    <col min="9987" max="9989" width="24.6640625" style="2516" customWidth="1"/>
    <col min="9990" max="10240" width="9.33203125" style="2516"/>
    <col min="10241" max="10241" width="116" style="2516" customWidth="1"/>
    <col min="10242" max="10242" width="27.6640625" style="2516" customWidth="1"/>
    <col min="10243" max="10245" width="24.6640625" style="2516" customWidth="1"/>
    <col min="10246" max="10496" width="9.33203125" style="2516"/>
    <col min="10497" max="10497" width="116" style="2516" customWidth="1"/>
    <col min="10498" max="10498" width="27.6640625" style="2516" customWidth="1"/>
    <col min="10499" max="10501" width="24.6640625" style="2516" customWidth="1"/>
    <col min="10502" max="10752" width="9.33203125" style="2516"/>
    <col min="10753" max="10753" width="116" style="2516" customWidth="1"/>
    <col min="10754" max="10754" width="27.6640625" style="2516" customWidth="1"/>
    <col min="10755" max="10757" width="24.6640625" style="2516" customWidth="1"/>
    <col min="10758" max="11008" width="9.33203125" style="2516"/>
    <col min="11009" max="11009" width="116" style="2516" customWidth="1"/>
    <col min="11010" max="11010" width="27.6640625" style="2516" customWidth="1"/>
    <col min="11011" max="11013" width="24.6640625" style="2516" customWidth="1"/>
    <col min="11014" max="11264" width="9.33203125" style="2516"/>
    <col min="11265" max="11265" width="116" style="2516" customWidth="1"/>
    <col min="11266" max="11266" width="27.6640625" style="2516" customWidth="1"/>
    <col min="11267" max="11269" width="24.6640625" style="2516" customWidth="1"/>
    <col min="11270" max="11520" width="9.33203125" style="2516"/>
    <col min="11521" max="11521" width="116" style="2516" customWidth="1"/>
    <col min="11522" max="11522" width="27.6640625" style="2516" customWidth="1"/>
    <col min="11523" max="11525" width="24.6640625" style="2516" customWidth="1"/>
    <col min="11526" max="11776" width="9.33203125" style="2516"/>
    <col min="11777" max="11777" width="116" style="2516" customWidth="1"/>
    <col min="11778" max="11778" width="27.6640625" style="2516" customWidth="1"/>
    <col min="11779" max="11781" width="24.6640625" style="2516" customWidth="1"/>
    <col min="11782" max="12032" width="9.33203125" style="2516"/>
    <col min="12033" max="12033" width="116" style="2516" customWidth="1"/>
    <col min="12034" max="12034" width="27.6640625" style="2516" customWidth="1"/>
    <col min="12035" max="12037" width="24.6640625" style="2516" customWidth="1"/>
    <col min="12038" max="12288" width="9.33203125" style="2516"/>
    <col min="12289" max="12289" width="116" style="2516" customWidth="1"/>
    <col min="12290" max="12290" width="27.6640625" style="2516" customWidth="1"/>
    <col min="12291" max="12293" width="24.6640625" style="2516" customWidth="1"/>
    <col min="12294" max="12544" width="9.33203125" style="2516"/>
    <col min="12545" max="12545" width="116" style="2516" customWidth="1"/>
    <col min="12546" max="12546" width="27.6640625" style="2516" customWidth="1"/>
    <col min="12547" max="12549" width="24.6640625" style="2516" customWidth="1"/>
    <col min="12550" max="12800" width="9.33203125" style="2516"/>
    <col min="12801" max="12801" width="116" style="2516" customWidth="1"/>
    <col min="12802" max="12802" width="27.6640625" style="2516" customWidth="1"/>
    <col min="12803" max="12805" width="24.6640625" style="2516" customWidth="1"/>
    <col min="12806" max="13056" width="9.33203125" style="2516"/>
    <col min="13057" max="13057" width="116" style="2516" customWidth="1"/>
    <col min="13058" max="13058" width="27.6640625" style="2516" customWidth="1"/>
    <col min="13059" max="13061" width="24.6640625" style="2516" customWidth="1"/>
    <col min="13062" max="13312" width="9.33203125" style="2516"/>
    <col min="13313" max="13313" width="116" style="2516" customWidth="1"/>
    <col min="13314" max="13314" width="27.6640625" style="2516" customWidth="1"/>
    <col min="13315" max="13317" width="24.6640625" style="2516" customWidth="1"/>
    <col min="13318" max="13568" width="9.33203125" style="2516"/>
    <col min="13569" max="13569" width="116" style="2516" customWidth="1"/>
    <col min="13570" max="13570" width="27.6640625" style="2516" customWidth="1"/>
    <col min="13571" max="13573" width="24.6640625" style="2516" customWidth="1"/>
    <col min="13574" max="13824" width="9.33203125" style="2516"/>
    <col min="13825" max="13825" width="116" style="2516" customWidth="1"/>
    <col min="13826" max="13826" width="27.6640625" style="2516" customWidth="1"/>
    <col min="13827" max="13829" width="24.6640625" style="2516" customWidth="1"/>
    <col min="13830" max="14080" width="9.33203125" style="2516"/>
    <col min="14081" max="14081" width="116" style="2516" customWidth="1"/>
    <col min="14082" max="14082" width="27.6640625" style="2516" customWidth="1"/>
    <col min="14083" max="14085" width="24.6640625" style="2516" customWidth="1"/>
    <col min="14086" max="14336" width="9.33203125" style="2516"/>
    <col min="14337" max="14337" width="116" style="2516" customWidth="1"/>
    <col min="14338" max="14338" width="27.6640625" style="2516" customWidth="1"/>
    <col min="14339" max="14341" width="24.6640625" style="2516" customWidth="1"/>
    <col min="14342" max="14592" width="9.33203125" style="2516"/>
    <col min="14593" max="14593" width="116" style="2516" customWidth="1"/>
    <col min="14594" max="14594" width="27.6640625" style="2516" customWidth="1"/>
    <col min="14595" max="14597" width="24.6640625" style="2516" customWidth="1"/>
    <col min="14598" max="14848" width="9.33203125" style="2516"/>
    <col min="14849" max="14849" width="116" style="2516" customWidth="1"/>
    <col min="14850" max="14850" width="27.6640625" style="2516" customWidth="1"/>
    <col min="14851" max="14853" width="24.6640625" style="2516" customWidth="1"/>
    <col min="14854" max="15104" width="9.33203125" style="2516"/>
    <col min="15105" max="15105" width="116" style="2516" customWidth="1"/>
    <col min="15106" max="15106" width="27.6640625" style="2516" customWidth="1"/>
    <col min="15107" max="15109" width="24.6640625" style="2516" customWidth="1"/>
    <col min="15110" max="15360" width="9.33203125" style="2516"/>
    <col min="15361" max="15361" width="116" style="2516" customWidth="1"/>
    <col min="15362" max="15362" width="27.6640625" style="2516" customWidth="1"/>
    <col min="15363" max="15365" width="24.6640625" style="2516" customWidth="1"/>
    <col min="15366" max="15616" width="9.33203125" style="2516"/>
    <col min="15617" max="15617" width="116" style="2516" customWidth="1"/>
    <col min="15618" max="15618" width="27.6640625" style="2516" customWidth="1"/>
    <col min="15619" max="15621" width="24.6640625" style="2516" customWidth="1"/>
    <col min="15622" max="15872" width="9.33203125" style="2516"/>
    <col min="15873" max="15873" width="116" style="2516" customWidth="1"/>
    <col min="15874" max="15874" width="27.6640625" style="2516" customWidth="1"/>
    <col min="15875" max="15877" width="24.6640625" style="2516" customWidth="1"/>
    <col min="15878" max="16128" width="9.33203125" style="2516"/>
    <col min="16129" max="16129" width="116" style="2516" customWidth="1"/>
    <col min="16130" max="16130" width="27.6640625" style="2516" customWidth="1"/>
    <col min="16131" max="16133" width="24.6640625" style="2516" customWidth="1"/>
    <col min="16134" max="16384" width="9.33203125" style="2516"/>
  </cols>
  <sheetData>
    <row r="1" spans="1:5" ht="20.25" x14ac:dyDescent="0.3">
      <c r="A1" s="2636" t="s">
        <v>664</v>
      </c>
      <c r="B1" s="2636"/>
      <c r="C1" s="2636"/>
      <c r="D1" s="2636"/>
      <c r="E1" s="2636"/>
    </row>
    <row r="2" spans="1:5" ht="20.25" x14ac:dyDescent="0.3">
      <c r="A2" s="2636" t="s">
        <v>1933</v>
      </c>
      <c r="B2" s="2636"/>
      <c r="C2" s="2636"/>
      <c r="D2" s="2636"/>
      <c r="E2" s="2636"/>
    </row>
    <row r="3" spans="1:5" ht="15" x14ac:dyDescent="0.2">
      <c r="A3" s="2517"/>
    </row>
    <row r="4" spans="1:5" ht="15" x14ac:dyDescent="0.2">
      <c r="A4" s="2517"/>
    </row>
    <row r="5" spans="1:5" ht="25.5" customHeight="1" thickBot="1" x14ac:dyDescent="0.35">
      <c r="D5" s="2520"/>
      <c r="E5" s="2558" t="s">
        <v>38</v>
      </c>
    </row>
    <row r="6" spans="1:5" ht="18" x14ac:dyDescent="0.25">
      <c r="A6" s="2541" t="s">
        <v>1934</v>
      </c>
      <c r="B6" s="2579" t="s">
        <v>1935</v>
      </c>
      <c r="C6" s="2576" t="s">
        <v>1979</v>
      </c>
      <c r="D6" s="2577" t="s">
        <v>1371</v>
      </c>
      <c r="E6" s="2542"/>
    </row>
    <row r="7" spans="1:5" ht="18" x14ac:dyDescent="0.25">
      <c r="A7" s="2543"/>
      <c r="B7" s="2544" t="s">
        <v>1977</v>
      </c>
      <c r="C7" s="2573" t="s">
        <v>1978</v>
      </c>
      <c r="D7" s="2545" t="s">
        <v>205</v>
      </c>
      <c r="E7" s="2545" t="s">
        <v>1936</v>
      </c>
    </row>
    <row r="8" spans="1:5" ht="18.75" thickBot="1" x14ac:dyDescent="0.3">
      <c r="A8" s="2546"/>
      <c r="B8" s="2547" t="s">
        <v>1937</v>
      </c>
      <c r="C8" s="2578" t="s">
        <v>1937</v>
      </c>
      <c r="D8" s="2580"/>
      <c r="E8" s="2580"/>
    </row>
    <row r="9" spans="1:5" ht="25.5" customHeight="1" x14ac:dyDescent="0.3">
      <c r="A9" s="2572" t="s">
        <v>1938</v>
      </c>
      <c r="B9" s="2521"/>
      <c r="C9" s="2574"/>
      <c r="D9" s="2575"/>
      <c r="E9" s="2575"/>
    </row>
    <row r="10" spans="1:5" ht="24.75" customHeight="1" x14ac:dyDescent="0.3">
      <c r="A10" s="2552" t="s">
        <v>1939</v>
      </c>
      <c r="B10" s="2531">
        <v>40</v>
      </c>
      <c r="C10" s="2531">
        <v>40</v>
      </c>
      <c r="D10" s="2531">
        <v>29</v>
      </c>
      <c r="E10" s="2531">
        <f>D10-C10</f>
        <v>-11</v>
      </c>
    </row>
    <row r="11" spans="1:5" ht="24.75" customHeight="1" thickBot="1" x14ac:dyDescent="0.35">
      <c r="A11" s="2548" t="s">
        <v>1940</v>
      </c>
      <c r="B11" s="2524"/>
      <c r="C11" s="2524">
        <v>6902</v>
      </c>
      <c r="D11" s="2523">
        <f>B11+C11</f>
        <v>6902</v>
      </c>
      <c r="E11" s="2523">
        <f>D11-C11</f>
        <v>0</v>
      </c>
    </row>
    <row r="12" spans="1:5" s="2526" customFormat="1" ht="25.5" customHeight="1" thickBot="1" x14ac:dyDescent="0.35">
      <c r="A12" s="2566" t="s">
        <v>1941</v>
      </c>
      <c r="B12" s="2525">
        <f>SUM(B10:B11)</f>
        <v>40</v>
      </c>
      <c r="C12" s="2525">
        <f>SUM(C10:C11)</f>
        <v>6942</v>
      </c>
      <c r="D12" s="2525">
        <f>SUM(D10:D11)</f>
        <v>6931</v>
      </c>
      <c r="E12" s="2525">
        <f>SUM(E10:E11)</f>
        <v>-11</v>
      </c>
    </row>
    <row r="13" spans="1:5" ht="48.75" customHeight="1" x14ac:dyDescent="0.3">
      <c r="A13" s="2571" t="s">
        <v>1942</v>
      </c>
      <c r="B13" s="2527"/>
      <c r="C13" s="2527"/>
      <c r="D13" s="2527"/>
      <c r="E13" s="2527"/>
    </row>
    <row r="14" spans="1:5" ht="48.75" customHeight="1" x14ac:dyDescent="0.3">
      <c r="A14" s="2554" t="s">
        <v>1943</v>
      </c>
      <c r="B14" s="2531"/>
      <c r="C14" s="2531"/>
      <c r="D14" s="2531"/>
      <c r="E14" s="2531"/>
    </row>
    <row r="15" spans="1:5" ht="24.75" customHeight="1" x14ac:dyDescent="0.3">
      <c r="A15" s="2549" t="s">
        <v>1944</v>
      </c>
      <c r="B15" s="2523">
        <v>919327</v>
      </c>
      <c r="C15" s="2523">
        <v>935410</v>
      </c>
      <c r="D15" s="2523">
        <v>934549</v>
      </c>
      <c r="E15" s="2523">
        <f t="shared" ref="E15:E21" si="0">D15-C15</f>
        <v>-861</v>
      </c>
    </row>
    <row r="16" spans="1:5" ht="20.25" x14ac:dyDescent="0.3">
      <c r="A16" s="2550" t="s">
        <v>1945</v>
      </c>
      <c r="B16" s="2523">
        <v>7490</v>
      </c>
      <c r="C16" s="2523">
        <v>7608</v>
      </c>
      <c r="D16" s="2523">
        <v>7595</v>
      </c>
      <c r="E16" s="2523">
        <f t="shared" si="0"/>
        <v>-13</v>
      </c>
    </row>
    <row r="17" spans="1:5" s="2556" customFormat="1" ht="48.75" customHeight="1" x14ac:dyDescent="0.3">
      <c r="A17" s="2555" t="s">
        <v>1946</v>
      </c>
      <c r="B17" s="2523">
        <v>280</v>
      </c>
      <c r="C17" s="2523">
        <v>280</v>
      </c>
      <c r="D17" s="2523">
        <v>280</v>
      </c>
      <c r="E17" s="2523">
        <f t="shared" si="0"/>
        <v>0</v>
      </c>
    </row>
    <row r="18" spans="1:5" ht="24.75" customHeight="1" x14ac:dyDescent="0.3">
      <c r="A18" s="2550" t="s">
        <v>1947</v>
      </c>
      <c r="B18" s="2523">
        <v>281192</v>
      </c>
      <c r="C18" s="2523">
        <v>280592</v>
      </c>
      <c r="D18" s="2523">
        <v>279992</v>
      </c>
      <c r="E18" s="2523">
        <f t="shared" si="0"/>
        <v>-600</v>
      </c>
    </row>
    <row r="19" spans="1:5" ht="24.75" customHeight="1" x14ac:dyDescent="0.3">
      <c r="A19" s="2551" t="s">
        <v>1948</v>
      </c>
      <c r="B19" s="2523">
        <v>189893</v>
      </c>
      <c r="C19" s="2523">
        <v>192747</v>
      </c>
      <c r="D19" s="2523">
        <v>192773</v>
      </c>
      <c r="E19" s="2523">
        <f t="shared" si="0"/>
        <v>26</v>
      </c>
    </row>
    <row r="20" spans="1:5" ht="24.75" customHeight="1" x14ac:dyDescent="0.3">
      <c r="A20" s="2551" t="s">
        <v>1949</v>
      </c>
      <c r="B20" s="2523">
        <v>7028</v>
      </c>
      <c r="C20" s="2523">
        <v>7028</v>
      </c>
      <c r="D20" s="2523">
        <v>7028</v>
      </c>
      <c r="E20" s="2523">
        <f t="shared" si="0"/>
        <v>0</v>
      </c>
    </row>
    <row r="21" spans="1:5" ht="48.75" customHeight="1" thickBot="1" x14ac:dyDescent="0.35">
      <c r="A21" s="2557" t="s">
        <v>1950</v>
      </c>
      <c r="B21" s="2523">
        <v>36449</v>
      </c>
      <c r="C21" s="2523">
        <v>33484</v>
      </c>
      <c r="D21" s="2523">
        <v>33484</v>
      </c>
      <c r="E21" s="2523">
        <f t="shared" si="0"/>
        <v>0</v>
      </c>
    </row>
    <row r="22" spans="1:5" s="2526" customFormat="1" ht="26.25" customHeight="1" thickBot="1" x14ac:dyDescent="0.35">
      <c r="A22" s="2566" t="s">
        <v>1951</v>
      </c>
      <c r="B22" s="2525">
        <f>SUM(B15:B21)</f>
        <v>1441659</v>
      </c>
      <c r="C22" s="2525">
        <f>SUM(C15:C21)</f>
        <v>1457149</v>
      </c>
      <c r="D22" s="2525">
        <f>SUM(D15:D21)</f>
        <v>1455701</v>
      </c>
      <c r="E22" s="2525">
        <f>SUM(E15:E21)</f>
        <v>-1448</v>
      </c>
    </row>
    <row r="23" spans="1:5" s="2526" customFormat="1" ht="49.5" customHeight="1" x14ac:dyDescent="0.3">
      <c r="A23" s="2567" t="s">
        <v>1952</v>
      </c>
      <c r="B23" s="2528"/>
      <c r="C23" s="2528"/>
      <c r="D23" s="2528"/>
      <c r="E23" s="2528"/>
    </row>
    <row r="24" spans="1:5" s="2526" customFormat="1" ht="25.5" customHeight="1" x14ac:dyDescent="0.3">
      <c r="A24" s="2564" t="s">
        <v>1953</v>
      </c>
      <c r="B24" s="2559"/>
      <c r="C24" s="2559">
        <v>6817</v>
      </c>
      <c r="D24" s="2559">
        <v>6817</v>
      </c>
      <c r="E24" s="2559">
        <f>C24-D24</f>
        <v>0</v>
      </c>
    </row>
    <row r="25" spans="1:5" s="2526" customFormat="1" ht="24.75" customHeight="1" x14ac:dyDescent="0.3">
      <c r="A25" s="2568" t="s">
        <v>1954</v>
      </c>
      <c r="B25" s="2529"/>
      <c r="C25" s="2529"/>
      <c r="D25" s="2529"/>
      <c r="E25" s="2529"/>
    </row>
    <row r="26" spans="1:5" s="2518" customFormat="1" ht="24.75" customHeight="1" x14ac:dyDescent="0.3">
      <c r="A26" s="2560" t="s">
        <v>1955</v>
      </c>
      <c r="B26" s="2531">
        <v>50100</v>
      </c>
      <c r="C26" s="2531">
        <v>50100</v>
      </c>
      <c r="D26" s="2531">
        <v>50100</v>
      </c>
      <c r="E26" s="2531">
        <f t="shared" ref="E26:E36" si="1">D26-C26</f>
        <v>0</v>
      </c>
    </row>
    <row r="27" spans="1:5" s="2518" customFormat="1" ht="24.75" customHeight="1" x14ac:dyDescent="0.3">
      <c r="A27" s="2550" t="s">
        <v>1956</v>
      </c>
      <c r="B27" s="2523">
        <v>54600</v>
      </c>
      <c r="C27" s="2523">
        <v>54600</v>
      </c>
      <c r="D27" s="2523">
        <v>54600</v>
      </c>
      <c r="E27" s="2523">
        <f t="shared" si="1"/>
        <v>0</v>
      </c>
    </row>
    <row r="28" spans="1:5" s="2518" customFormat="1" ht="24.75" customHeight="1" x14ac:dyDescent="0.3">
      <c r="A28" s="2550" t="s">
        <v>1957</v>
      </c>
      <c r="B28" s="2523">
        <v>41520</v>
      </c>
      <c r="C28" s="2523">
        <v>42572</v>
      </c>
      <c r="D28" s="2523">
        <v>41963</v>
      </c>
      <c r="E28" s="2523">
        <f t="shared" si="1"/>
        <v>-609</v>
      </c>
    </row>
    <row r="29" spans="1:5" s="2518" customFormat="1" ht="24.75" customHeight="1" x14ac:dyDescent="0.3">
      <c r="A29" s="2552" t="s">
        <v>1958</v>
      </c>
      <c r="B29" s="2523">
        <v>20010</v>
      </c>
      <c r="C29" s="2523">
        <v>18850</v>
      </c>
      <c r="D29" s="2523">
        <v>19140</v>
      </c>
      <c r="E29" s="2523">
        <f t="shared" si="1"/>
        <v>290</v>
      </c>
    </row>
    <row r="30" spans="1:5" s="2518" customFormat="1" ht="24.75" customHeight="1" x14ac:dyDescent="0.3">
      <c r="A30" s="2552" t="s">
        <v>1959</v>
      </c>
      <c r="B30" s="2523">
        <v>16677</v>
      </c>
      <c r="C30" s="2523">
        <v>17767</v>
      </c>
      <c r="D30" s="2523">
        <v>17767</v>
      </c>
      <c r="E30" s="2523">
        <f t="shared" si="1"/>
        <v>0</v>
      </c>
    </row>
    <row r="31" spans="1:5" s="2518" customFormat="1" ht="24.75" customHeight="1" x14ac:dyDescent="0.3">
      <c r="A31" s="2552" t="s">
        <v>1960</v>
      </c>
      <c r="B31" s="2523">
        <v>7000</v>
      </c>
      <c r="C31" s="2523">
        <v>7000</v>
      </c>
      <c r="D31" s="2523">
        <v>7000</v>
      </c>
      <c r="E31" s="2523">
        <f t="shared" si="1"/>
        <v>0</v>
      </c>
    </row>
    <row r="32" spans="1:5" s="2518" customFormat="1" ht="48.75" customHeight="1" x14ac:dyDescent="0.3">
      <c r="A32" s="2552" t="s">
        <v>1961</v>
      </c>
      <c r="B32" s="2523">
        <v>175900</v>
      </c>
      <c r="C32" s="2523">
        <v>189735</v>
      </c>
      <c r="D32" s="2523">
        <v>186276</v>
      </c>
      <c r="E32" s="2523">
        <f t="shared" si="1"/>
        <v>-3459</v>
      </c>
    </row>
    <row r="33" spans="1:5" s="2518" customFormat="1" ht="24.75" customHeight="1" x14ac:dyDescent="0.3">
      <c r="A33" s="2552" t="s">
        <v>1962</v>
      </c>
      <c r="B33" s="2523">
        <v>6670</v>
      </c>
      <c r="C33" s="2523">
        <v>6670</v>
      </c>
      <c r="D33" s="2523">
        <v>4447</v>
      </c>
      <c r="E33" s="2523">
        <f t="shared" si="1"/>
        <v>-2223</v>
      </c>
    </row>
    <row r="34" spans="1:5" s="2518" customFormat="1" ht="48.75" customHeight="1" x14ac:dyDescent="0.3">
      <c r="A34" s="2552" t="s">
        <v>1963</v>
      </c>
      <c r="B34" s="2523">
        <v>11933</v>
      </c>
      <c r="C34" s="2523">
        <v>1038</v>
      </c>
      <c r="D34" s="2523">
        <v>2594</v>
      </c>
      <c r="E34" s="2523">
        <f t="shared" si="1"/>
        <v>1556</v>
      </c>
    </row>
    <row r="35" spans="1:5" s="2518" customFormat="1" ht="48.75" customHeight="1" x14ac:dyDescent="0.3">
      <c r="A35" s="2552" t="s">
        <v>1964</v>
      </c>
      <c r="B35" s="2523">
        <v>4348</v>
      </c>
      <c r="C35" s="2523">
        <v>543</v>
      </c>
      <c r="D35" s="2523">
        <v>543</v>
      </c>
      <c r="E35" s="2523">
        <f t="shared" si="1"/>
        <v>0</v>
      </c>
    </row>
    <row r="36" spans="1:5" s="2518" customFormat="1" ht="48.75" customHeight="1" x14ac:dyDescent="0.3">
      <c r="A36" s="2552" t="s">
        <v>1965</v>
      </c>
      <c r="B36" s="2523">
        <v>2682</v>
      </c>
      <c r="C36" s="2523">
        <v>2682</v>
      </c>
      <c r="D36" s="2523">
        <v>2950</v>
      </c>
      <c r="E36" s="2523">
        <f t="shared" si="1"/>
        <v>268</v>
      </c>
    </row>
    <row r="37" spans="1:5" s="2518" customFormat="1" ht="25.5" customHeight="1" x14ac:dyDescent="0.3">
      <c r="A37" s="2561" t="s">
        <v>1980</v>
      </c>
      <c r="B37" s="2530">
        <f>SUM(B26:B36)</f>
        <v>391440</v>
      </c>
      <c r="C37" s="2530">
        <f>SUM(C26:C36)</f>
        <v>391557</v>
      </c>
      <c r="D37" s="2530">
        <f>SUM(D26:D36)</f>
        <v>387380</v>
      </c>
      <c r="E37" s="2530">
        <f>SUM(E26:E36)</f>
        <v>-4177</v>
      </c>
    </row>
    <row r="38" spans="1:5" s="2518" customFormat="1" ht="70.5" customHeight="1" x14ac:dyDescent="0.3">
      <c r="A38" s="2569" t="s">
        <v>1966</v>
      </c>
      <c r="B38" s="2523"/>
      <c r="C38" s="2523"/>
      <c r="D38" s="2523"/>
      <c r="E38" s="2523"/>
    </row>
    <row r="39" spans="1:5" s="2518" customFormat="1" ht="48.75" customHeight="1" x14ac:dyDescent="0.3">
      <c r="A39" s="2552" t="s">
        <v>1967</v>
      </c>
      <c r="B39" s="2531">
        <v>36485</v>
      </c>
      <c r="C39" s="2531">
        <v>36485</v>
      </c>
      <c r="D39" s="2523">
        <v>36485</v>
      </c>
      <c r="E39" s="2523">
        <f>D39-C39</f>
        <v>0</v>
      </c>
    </row>
    <row r="40" spans="1:5" s="2518" customFormat="1" ht="48.75" customHeight="1" x14ac:dyDescent="0.3">
      <c r="A40" s="2552" t="s">
        <v>1968</v>
      </c>
      <c r="B40" s="2531">
        <v>10303</v>
      </c>
      <c r="C40" s="2531">
        <v>11645</v>
      </c>
      <c r="D40" s="2523">
        <v>11645</v>
      </c>
      <c r="E40" s="2523">
        <f>D40-C40</f>
        <v>0</v>
      </c>
    </row>
    <row r="41" spans="1:5" s="2518" customFormat="1" ht="26.25" customHeight="1" x14ac:dyDescent="0.3">
      <c r="A41" s="2561" t="s">
        <v>1981</v>
      </c>
      <c r="B41" s="2530">
        <f>B39+B40</f>
        <v>46788</v>
      </c>
      <c r="C41" s="2530">
        <f>C39+C40</f>
        <v>48130</v>
      </c>
      <c r="D41" s="2530">
        <f>D39+D40</f>
        <v>48130</v>
      </c>
      <c r="E41" s="2530">
        <f>E39+E40</f>
        <v>0</v>
      </c>
    </row>
    <row r="42" spans="1:5" s="2518" customFormat="1" ht="36" customHeight="1" x14ac:dyDescent="0.3">
      <c r="A42" s="2570" t="s">
        <v>1969</v>
      </c>
      <c r="B42" s="2531"/>
      <c r="C42" s="2531"/>
      <c r="D42" s="2531"/>
      <c r="E42" s="2531"/>
    </row>
    <row r="43" spans="1:5" s="2518" customFormat="1" ht="48.75" customHeight="1" x14ac:dyDescent="0.3">
      <c r="A43" s="2550" t="s">
        <v>1970</v>
      </c>
      <c r="B43" s="2523">
        <v>164995</v>
      </c>
      <c r="C43" s="2523">
        <v>172225</v>
      </c>
      <c r="D43" s="2523">
        <v>178492</v>
      </c>
      <c r="E43" s="2523">
        <f>D43-C43</f>
        <v>6267</v>
      </c>
    </row>
    <row r="44" spans="1:5" s="2518" customFormat="1" ht="25.5" customHeight="1" x14ac:dyDescent="0.3">
      <c r="A44" s="2553" t="s">
        <v>1971</v>
      </c>
      <c r="B44" s="2522">
        <v>130246</v>
      </c>
      <c r="C44" s="2532">
        <v>137848</v>
      </c>
      <c r="D44" s="2532">
        <v>137848</v>
      </c>
      <c r="E44" s="2523">
        <f>D44-C44</f>
        <v>0</v>
      </c>
    </row>
    <row r="45" spans="1:5" s="2518" customFormat="1" ht="48.75" customHeight="1" x14ac:dyDescent="0.3">
      <c r="A45" s="2552" t="s">
        <v>1972</v>
      </c>
      <c r="B45" s="2531">
        <v>978</v>
      </c>
      <c r="C45" s="2531">
        <v>1312</v>
      </c>
      <c r="D45" s="2531">
        <v>1463</v>
      </c>
      <c r="E45" s="2523">
        <f>D45-C45</f>
        <v>151</v>
      </c>
    </row>
    <row r="46" spans="1:5" s="2518" customFormat="1" ht="26.25" customHeight="1" x14ac:dyDescent="0.3">
      <c r="A46" s="2562" t="s">
        <v>1982</v>
      </c>
      <c r="B46" s="2530">
        <f>SUM(B43:B45)</f>
        <v>296219</v>
      </c>
      <c r="C46" s="2530">
        <f>C44+C45+C43</f>
        <v>311385</v>
      </c>
      <c r="D46" s="2530">
        <f>SUM(D43:D45)</f>
        <v>317803</v>
      </c>
      <c r="E46" s="2530">
        <f>SUM(E43:E45)</f>
        <v>6418</v>
      </c>
    </row>
    <row r="47" spans="1:5" s="2518" customFormat="1" ht="26.25" customHeight="1" x14ac:dyDescent="0.3">
      <c r="A47" s="2563" t="s">
        <v>1973</v>
      </c>
      <c r="B47" s="2533"/>
      <c r="C47" s="2533">
        <v>43328</v>
      </c>
      <c r="D47" s="2533">
        <v>42999</v>
      </c>
      <c r="E47" s="2533">
        <f>D47-C47</f>
        <v>-329</v>
      </c>
    </row>
    <row r="48" spans="1:5" s="2518" customFormat="1" ht="48.75" customHeight="1" x14ac:dyDescent="0.3">
      <c r="A48" s="2564" t="s">
        <v>1974</v>
      </c>
      <c r="B48" s="2533"/>
      <c r="C48" s="2533">
        <v>50845</v>
      </c>
      <c r="D48" s="2533">
        <v>50996</v>
      </c>
      <c r="E48" s="2533">
        <f>D48-C48</f>
        <v>151</v>
      </c>
    </row>
    <row r="49" spans="1:5" s="2518" customFormat="1" ht="49.5" customHeight="1" thickBot="1" x14ac:dyDescent="0.35">
      <c r="A49" s="2561" t="s">
        <v>1975</v>
      </c>
      <c r="B49" s="2533"/>
      <c r="C49" s="2533">
        <v>75933</v>
      </c>
      <c r="D49" s="2533">
        <f>B49+C49</f>
        <v>75933</v>
      </c>
      <c r="E49" s="2533">
        <f>D49-C49</f>
        <v>0</v>
      </c>
    </row>
    <row r="50" spans="1:5" ht="26.25" customHeight="1" thickBot="1" x14ac:dyDescent="0.35">
      <c r="A50" s="2565" t="s">
        <v>1976</v>
      </c>
      <c r="B50" s="2534">
        <f>B37+B41+B46+B47+B48+B24+B49</f>
        <v>734447</v>
      </c>
      <c r="C50" s="2534">
        <f>C37+C41+C46+C47+C48+C24+C49</f>
        <v>927995</v>
      </c>
      <c r="D50" s="2534">
        <f>D37+D41+D46+D47+D48+D24+D49</f>
        <v>930058</v>
      </c>
      <c r="E50" s="2534">
        <f>E37+E41+E46+E47+E48+E24+E49</f>
        <v>2063</v>
      </c>
    </row>
    <row r="51" spans="1:5" s="2526" customFormat="1" ht="41.25" customHeight="1" thickBot="1" x14ac:dyDescent="0.35">
      <c r="A51" s="2535" t="s">
        <v>261</v>
      </c>
      <c r="B51" s="2536">
        <f>B12+B22+B50</f>
        <v>2176146</v>
      </c>
      <c r="C51" s="2536">
        <f>C12+C22+C50</f>
        <v>2392086</v>
      </c>
      <c r="D51" s="2537">
        <f>D12+D22+D50</f>
        <v>2392690</v>
      </c>
      <c r="E51" s="2537">
        <f>E12+E22+E50</f>
        <v>604</v>
      </c>
    </row>
    <row r="53" spans="1:5" ht="36.75" customHeight="1" x14ac:dyDescent="0.2">
      <c r="A53" s="2538"/>
      <c r="C53" s="2539"/>
    </row>
    <row r="54" spans="1:5" ht="28.5" customHeight="1" x14ac:dyDescent="0.2">
      <c r="A54" s="2538"/>
      <c r="C54" s="2539"/>
    </row>
    <row r="55" spans="1:5" ht="30" customHeight="1" x14ac:dyDescent="0.2">
      <c r="A55" s="2538"/>
      <c r="C55" s="2539"/>
    </row>
    <row r="56" spans="1:5" ht="30.75" customHeight="1" x14ac:dyDescent="0.2">
      <c r="A56" s="2538"/>
      <c r="B56" s="2540"/>
      <c r="C56" s="2539"/>
    </row>
    <row r="57" spans="1:5" ht="12.95" customHeight="1" x14ac:dyDescent="0.2">
      <c r="C57" s="2539"/>
    </row>
    <row r="58" spans="1:5" ht="12.95" customHeight="1" x14ac:dyDescent="0.2">
      <c r="C58" s="2539"/>
    </row>
    <row r="59" spans="1:5" ht="12.95" customHeight="1" x14ac:dyDescent="0.2">
      <c r="B59" s="2539"/>
      <c r="C59" s="2539"/>
    </row>
    <row r="60" spans="1:5" ht="12.95" customHeight="1" x14ac:dyDescent="0.2">
      <c r="B60" s="2539"/>
      <c r="C60" s="2539"/>
    </row>
    <row r="61" spans="1:5" ht="12.95" customHeight="1" x14ac:dyDescent="0.2">
      <c r="B61" s="2539"/>
      <c r="C61" s="2539"/>
    </row>
    <row r="62" spans="1:5" ht="36" customHeight="1" x14ac:dyDescent="0.2">
      <c r="A62" s="2538"/>
      <c r="C62" s="2539"/>
    </row>
    <row r="63" spans="1:5" ht="17.25" customHeight="1" x14ac:dyDescent="0.2">
      <c r="B63" s="2539"/>
      <c r="C63" s="2539"/>
    </row>
    <row r="64" spans="1:5" ht="12.75" customHeight="1" x14ac:dyDescent="0.2">
      <c r="B64" s="2539"/>
      <c r="C64" s="2539"/>
    </row>
    <row r="65" spans="3:3" ht="12.95" customHeight="1" x14ac:dyDescent="0.2">
      <c r="C65" s="2539"/>
    </row>
    <row r="66" spans="3:3" ht="12.95" customHeight="1" x14ac:dyDescent="0.2">
      <c r="C66" s="2539"/>
    </row>
  </sheetData>
  <mergeCells count="2">
    <mergeCell ref="A2:E2"/>
    <mergeCell ref="A1:E1"/>
  </mergeCells>
  <printOptions horizontalCentered="1" verticalCentered="1"/>
  <pageMargins left="0" right="0" top="0" bottom="0" header="0.39370078740157483" footer="0"/>
  <pageSetup paperSize="9" scale="52" orientation="portrait" r:id="rId1"/>
  <headerFooter alignWithMargins="0">
    <oddHeader>&amp;R&amp;"Times New Roman CE,Félkövér"&amp;16 5.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2"/>
  <sheetViews>
    <sheetView zoomScale="50" zoomScaleNormal="50" zoomScaleSheetLayoutView="50" workbookViewId="0">
      <pane xSplit="1" ySplit="8" topLeftCell="AR48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RowHeight="26.45" customHeight="1" x14ac:dyDescent="0.3"/>
  <cols>
    <col min="1" max="1" width="190" style="1889" customWidth="1"/>
    <col min="2" max="13" width="55" style="1890" customWidth="1"/>
    <col min="14" max="14" width="190.33203125" style="1889" customWidth="1"/>
    <col min="15" max="26" width="53" style="1890" customWidth="1"/>
    <col min="27" max="27" width="190.5" style="1891" customWidth="1"/>
    <col min="28" max="31" width="53" style="1889" customWidth="1"/>
    <col min="32" max="35" width="53" style="1892" customWidth="1"/>
    <col min="36" max="39" width="53" style="1889" customWidth="1"/>
    <col min="40" max="40" width="189.83203125" style="1891" customWidth="1"/>
    <col min="41" max="44" width="63" style="1889" customWidth="1"/>
    <col min="45" max="48" width="63" style="1892" customWidth="1"/>
    <col min="49" max="50" width="45.1640625" style="1892" customWidth="1"/>
    <col min="51" max="51" width="34.1640625" style="1892" customWidth="1"/>
    <col min="52" max="256" width="9.33203125" style="1893"/>
    <col min="257" max="257" width="176.6640625" style="1893" customWidth="1"/>
    <col min="258" max="269" width="55" style="1893" customWidth="1"/>
    <col min="270" max="270" width="176.6640625" style="1893" customWidth="1"/>
    <col min="271" max="282" width="53" style="1893" customWidth="1"/>
    <col min="283" max="283" width="176.5" style="1893" customWidth="1"/>
    <col min="284" max="295" width="53" style="1893" customWidth="1"/>
    <col min="296" max="296" width="176.5" style="1893" customWidth="1"/>
    <col min="297" max="304" width="63" style="1893" customWidth="1"/>
    <col min="305" max="306" width="45.1640625" style="1893" customWidth="1"/>
    <col min="307" max="307" width="34.1640625" style="1893" customWidth="1"/>
    <col min="308" max="512" width="9.33203125" style="1893"/>
    <col min="513" max="513" width="176.6640625" style="1893" customWidth="1"/>
    <col min="514" max="525" width="55" style="1893" customWidth="1"/>
    <col min="526" max="526" width="176.6640625" style="1893" customWidth="1"/>
    <col min="527" max="538" width="53" style="1893" customWidth="1"/>
    <col min="539" max="539" width="176.5" style="1893" customWidth="1"/>
    <col min="540" max="551" width="53" style="1893" customWidth="1"/>
    <col min="552" max="552" width="176.5" style="1893" customWidth="1"/>
    <col min="553" max="560" width="63" style="1893" customWidth="1"/>
    <col min="561" max="562" width="45.1640625" style="1893" customWidth="1"/>
    <col min="563" max="563" width="34.1640625" style="1893" customWidth="1"/>
    <col min="564" max="768" width="9.33203125" style="1893"/>
    <col min="769" max="769" width="176.6640625" style="1893" customWidth="1"/>
    <col min="770" max="781" width="55" style="1893" customWidth="1"/>
    <col min="782" max="782" width="176.6640625" style="1893" customWidth="1"/>
    <col min="783" max="794" width="53" style="1893" customWidth="1"/>
    <col min="795" max="795" width="176.5" style="1893" customWidth="1"/>
    <col min="796" max="807" width="53" style="1893" customWidth="1"/>
    <col min="808" max="808" width="176.5" style="1893" customWidth="1"/>
    <col min="809" max="816" width="63" style="1893" customWidth="1"/>
    <col min="817" max="818" width="45.1640625" style="1893" customWidth="1"/>
    <col min="819" max="819" width="34.1640625" style="1893" customWidth="1"/>
    <col min="820" max="1024" width="9.33203125" style="1893"/>
    <col min="1025" max="1025" width="176.6640625" style="1893" customWidth="1"/>
    <col min="1026" max="1037" width="55" style="1893" customWidth="1"/>
    <col min="1038" max="1038" width="176.6640625" style="1893" customWidth="1"/>
    <col min="1039" max="1050" width="53" style="1893" customWidth="1"/>
    <col min="1051" max="1051" width="176.5" style="1893" customWidth="1"/>
    <col min="1052" max="1063" width="53" style="1893" customWidth="1"/>
    <col min="1064" max="1064" width="176.5" style="1893" customWidth="1"/>
    <col min="1065" max="1072" width="63" style="1893" customWidth="1"/>
    <col min="1073" max="1074" width="45.1640625" style="1893" customWidth="1"/>
    <col min="1075" max="1075" width="34.1640625" style="1893" customWidth="1"/>
    <col min="1076" max="1280" width="9.33203125" style="1893"/>
    <col min="1281" max="1281" width="176.6640625" style="1893" customWidth="1"/>
    <col min="1282" max="1293" width="55" style="1893" customWidth="1"/>
    <col min="1294" max="1294" width="176.6640625" style="1893" customWidth="1"/>
    <col min="1295" max="1306" width="53" style="1893" customWidth="1"/>
    <col min="1307" max="1307" width="176.5" style="1893" customWidth="1"/>
    <col min="1308" max="1319" width="53" style="1893" customWidth="1"/>
    <col min="1320" max="1320" width="176.5" style="1893" customWidth="1"/>
    <col min="1321" max="1328" width="63" style="1893" customWidth="1"/>
    <col min="1329" max="1330" width="45.1640625" style="1893" customWidth="1"/>
    <col min="1331" max="1331" width="34.1640625" style="1893" customWidth="1"/>
    <col min="1332" max="1536" width="9.33203125" style="1893"/>
    <col min="1537" max="1537" width="176.6640625" style="1893" customWidth="1"/>
    <col min="1538" max="1549" width="55" style="1893" customWidth="1"/>
    <col min="1550" max="1550" width="176.6640625" style="1893" customWidth="1"/>
    <col min="1551" max="1562" width="53" style="1893" customWidth="1"/>
    <col min="1563" max="1563" width="176.5" style="1893" customWidth="1"/>
    <col min="1564" max="1575" width="53" style="1893" customWidth="1"/>
    <col min="1576" max="1576" width="176.5" style="1893" customWidth="1"/>
    <col min="1577" max="1584" width="63" style="1893" customWidth="1"/>
    <col min="1585" max="1586" width="45.1640625" style="1893" customWidth="1"/>
    <col min="1587" max="1587" width="34.1640625" style="1893" customWidth="1"/>
    <col min="1588" max="1792" width="9.33203125" style="1893"/>
    <col min="1793" max="1793" width="176.6640625" style="1893" customWidth="1"/>
    <col min="1794" max="1805" width="55" style="1893" customWidth="1"/>
    <col min="1806" max="1806" width="176.6640625" style="1893" customWidth="1"/>
    <col min="1807" max="1818" width="53" style="1893" customWidth="1"/>
    <col min="1819" max="1819" width="176.5" style="1893" customWidth="1"/>
    <col min="1820" max="1831" width="53" style="1893" customWidth="1"/>
    <col min="1832" max="1832" width="176.5" style="1893" customWidth="1"/>
    <col min="1833" max="1840" width="63" style="1893" customWidth="1"/>
    <col min="1841" max="1842" width="45.1640625" style="1893" customWidth="1"/>
    <col min="1843" max="1843" width="34.1640625" style="1893" customWidth="1"/>
    <col min="1844" max="2048" width="9.33203125" style="1893"/>
    <col min="2049" max="2049" width="176.6640625" style="1893" customWidth="1"/>
    <col min="2050" max="2061" width="55" style="1893" customWidth="1"/>
    <col min="2062" max="2062" width="176.6640625" style="1893" customWidth="1"/>
    <col min="2063" max="2074" width="53" style="1893" customWidth="1"/>
    <col min="2075" max="2075" width="176.5" style="1893" customWidth="1"/>
    <col min="2076" max="2087" width="53" style="1893" customWidth="1"/>
    <col min="2088" max="2088" width="176.5" style="1893" customWidth="1"/>
    <col min="2089" max="2096" width="63" style="1893" customWidth="1"/>
    <col min="2097" max="2098" width="45.1640625" style="1893" customWidth="1"/>
    <col min="2099" max="2099" width="34.1640625" style="1893" customWidth="1"/>
    <col min="2100" max="2304" width="9.33203125" style="1893"/>
    <col min="2305" max="2305" width="176.6640625" style="1893" customWidth="1"/>
    <col min="2306" max="2317" width="55" style="1893" customWidth="1"/>
    <col min="2318" max="2318" width="176.6640625" style="1893" customWidth="1"/>
    <col min="2319" max="2330" width="53" style="1893" customWidth="1"/>
    <col min="2331" max="2331" width="176.5" style="1893" customWidth="1"/>
    <col min="2332" max="2343" width="53" style="1893" customWidth="1"/>
    <col min="2344" max="2344" width="176.5" style="1893" customWidth="1"/>
    <col min="2345" max="2352" width="63" style="1893" customWidth="1"/>
    <col min="2353" max="2354" width="45.1640625" style="1893" customWidth="1"/>
    <col min="2355" max="2355" width="34.1640625" style="1893" customWidth="1"/>
    <col min="2356" max="2560" width="9.33203125" style="1893"/>
    <col min="2561" max="2561" width="176.6640625" style="1893" customWidth="1"/>
    <col min="2562" max="2573" width="55" style="1893" customWidth="1"/>
    <col min="2574" max="2574" width="176.6640625" style="1893" customWidth="1"/>
    <col min="2575" max="2586" width="53" style="1893" customWidth="1"/>
    <col min="2587" max="2587" width="176.5" style="1893" customWidth="1"/>
    <col min="2588" max="2599" width="53" style="1893" customWidth="1"/>
    <col min="2600" max="2600" width="176.5" style="1893" customWidth="1"/>
    <col min="2601" max="2608" width="63" style="1893" customWidth="1"/>
    <col min="2609" max="2610" width="45.1640625" style="1893" customWidth="1"/>
    <col min="2611" max="2611" width="34.1640625" style="1893" customWidth="1"/>
    <col min="2612" max="2816" width="9.33203125" style="1893"/>
    <col min="2817" max="2817" width="176.6640625" style="1893" customWidth="1"/>
    <col min="2818" max="2829" width="55" style="1893" customWidth="1"/>
    <col min="2830" max="2830" width="176.6640625" style="1893" customWidth="1"/>
    <col min="2831" max="2842" width="53" style="1893" customWidth="1"/>
    <col min="2843" max="2843" width="176.5" style="1893" customWidth="1"/>
    <col min="2844" max="2855" width="53" style="1893" customWidth="1"/>
    <col min="2856" max="2856" width="176.5" style="1893" customWidth="1"/>
    <col min="2857" max="2864" width="63" style="1893" customWidth="1"/>
    <col min="2865" max="2866" width="45.1640625" style="1893" customWidth="1"/>
    <col min="2867" max="2867" width="34.1640625" style="1893" customWidth="1"/>
    <col min="2868" max="3072" width="9.33203125" style="1893"/>
    <col min="3073" max="3073" width="176.6640625" style="1893" customWidth="1"/>
    <col min="3074" max="3085" width="55" style="1893" customWidth="1"/>
    <col min="3086" max="3086" width="176.6640625" style="1893" customWidth="1"/>
    <col min="3087" max="3098" width="53" style="1893" customWidth="1"/>
    <col min="3099" max="3099" width="176.5" style="1893" customWidth="1"/>
    <col min="3100" max="3111" width="53" style="1893" customWidth="1"/>
    <col min="3112" max="3112" width="176.5" style="1893" customWidth="1"/>
    <col min="3113" max="3120" width="63" style="1893" customWidth="1"/>
    <col min="3121" max="3122" width="45.1640625" style="1893" customWidth="1"/>
    <col min="3123" max="3123" width="34.1640625" style="1893" customWidth="1"/>
    <col min="3124" max="3328" width="9.33203125" style="1893"/>
    <col min="3329" max="3329" width="176.6640625" style="1893" customWidth="1"/>
    <col min="3330" max="3341" width="55" style="1893" customWidth="1"/>
    <col min="3342" max="3342" width="176.6640625" style="1893" customWidth="1"/>
    <col min="3343" max="3354" width="53" style="1893" customWidth="1"/>
    <col min="3355" max="3355" width="176.5" style="1893" customWidth="1"/>
    <col min="3356" max="3367" width="53" style="1893" customWidth="1"/>
    <col min="3368" max="3368" width="176.5" style="1893" customWidth="1"/>
    <col min="3369" max="3376" width="63" style="1893" customWidth="1"/>
    <col min="3377" max="3378" width="45.1640625" style="1893" customWidth="1"/>
    <col min="3379" max="3379" width="34.1640625" style="1893" customWidth="1"/>
    <col min="3380" max="3584" width="9.33203125" style="1893"/>
    <col min="3585" max="3585" width="176.6640625" style="1893" customWidth="1"/>
    <col min="3586" max="3597" width="55" style="1893" customWidth="1"/>
    <col min="3598" max="3598" width="176.6640625" style="1893" customWidth="1"/>
    <col min="3599" max="3610" width="53" style="1893" customWidth="1"/>
    <col min="3611" max="3611" width="176.5" style="1893" customWidth="1"/>
    <col min="3612" max="3623" width="53" style="1893" customWidth="1"/>
    <col min="3624" max="3624" width="176.5" style="1893" customWidth="1"/>
    <col min="3625" max="3632" width="63" style="1893" customWidth="1"/>
    <col min="3633" max="3634" width="45.1640625" style="1893" customWidth="1"/>
    <col min="3635" max="3635" width="34.1640625" style="1893" customWidth="1"/>
    <col min="3636" max="3840" width="9.33203125" style="1893"/>
    <col min="3841" max="3841" width="176.6640625" style="1893" customWidth="1"/>
    <col min="3842" max="3853" width="55" style="1893" customWidth="1"/>
    <col min="3854" max="3854" width="176.6640625" style="1893" customWidth="1"/>
    <col min="3855" max="3866" width="53" style="1893" customWidth="1"/>
    <col min="3867" max="3867" width="176.5" style="1893" customWidth="1"/>
    <col min="3868" max="3879" width="53" style="1893" customWidth="1"/>
    <col min="3880" max="3880" width="176.5" style="1893" customWidth="1"/>
    <col min="3881" max="3888" width="63" style="1893" customWidth="1"/>
    <col min="3889" max="3890" width="45.1640625" style="1893" customWidth="1"/>
    <col min="3891" max="3891" width="34.1640625" style="1893" customWidth="1"/>
    <col min="3892" max="4096" width="9.33203125" style="1893"/>
    <col min="4097" max="4097" width="176.6640625" style="1893" customWidth="1"/>
    <col min="4098" max="4109" width="55" style="1893" customWidth="1"/>
    <col min="4110" max="4110" width="176.6640625" style="1893" customWidth="1"/>
    <col min="4111" max="4122" width="53" style="1893" customWidth="1"/>
    <col min="4123" max="4123" width="176.5" style="1893" customWidth="1"/>
    <col min="4124" max="4135" width="53" style="1893" customWidth="1"/>
    <col min="4136" max="4136" width="176.5" style="1893" customWidth="1"/>
    <col min="4137" max="4144" width="63" style="1893" customWidth="1"/>
    <col min="4145" max="4146" width="45.1640625" style="1893" customWidth="1"/>
    <col min="4147" max="4147" width="34.1640625" style="1893" customWidth="1"/>
    <col min="4148" max="4352" width="9.33203125" style="1893"/>
    <col min="4353" max="4353" width="176.6640625" style="1893" customWidth="1"/>
    <col min="4354" max="4365" width="55" style="1893" customWidth="1"/>
    <col min="4366" max="4366" width="176.6640625" style="1893" customWidth="1"/>
    <col min="4367" max="4378" width="53" style="1893" customWidth="1"/>
    <col min="4379" max="4379" width="176.5" style="1893" customWidth="1"/>
    <col min="4380" max="4391" width="53" style="1893" customWidth="1"/>
    <col min="4392" max="4392" width="176.5" style="1893" customWidth="1"/>
    <col min="4393" max="4400" width="63" style="1893" customWidth="1"/>
    <col min="4401" max="4402" width="45.1640625" style="1893" customWidth="1"/>
    <col min="4403" max="4403" width="34.1640625" style="1893" customWidth="1"/>
    <col min="4404" max="4608" width="9.33203125" style="1893"/>
    <col min="4609" max="4609" width="176.6640625" style="1893" customWidth="1"/>
    <col min="4610" max="4621" width="55" style="1893" customWidth="1"/>
    <col min="4622" max="4622" width="176.6640625" style="1893" customWidth="1"/>
    <col min="4623" max="4634" width="53" style="1893" customWidth="1"/>
    <col min="4635" max="4635" width="176.5" style="1893" customWidth="1"/>
    <col min="4636" max="4647" width="53" style="1893" customWidth="1"/>
    <col min="4648" max="4648" width="176.5" style="1893" customWidth="1"/>
    <col min="4649" max="4656" width="63" style="1893" customWidth="1"/>
    <col min="4657" max="4658" width="45.1640625" style="1893" customWidth="1"/>
    <col min="4659" max="4659" width="34.1640625" style="1893" customWidth="1"/>
    <col min="4660" max="4864" width="9.33203125" style="1893"/>
    <col min="4865" max="4865" width="176.6640625" style="1893" customWidth="1"/>
    <col min="4866" max="4877" width="55" style="1893" customWidth="1"/>
    <col min="4878" max="4878" width="176.6640625" style="1893" customWidth="1"/>
    <col min="4879" max="4890" width="53" style="1893" customWidth="1"/>
    <col min="4891" max="4891" width="176.5" style="1893" customWidth="1"/>
    <col min="4892" max="4903" width="53" style="1893" customWidth="1"/>
    <col min="4904" max="4904" width="176.5" style="1893" customWidth="1"/>
    <col min="4905" max="4912" width="63" style="1893" customWidth="1"/>
    <col min="4913" max="4914" width="45.1640625" style="1893" customWidth="1"/>
    <col min="4915" max="4915" width="34.1640625" style="1893" customWidth="1"/>
    <col min="4916" max="5120" width="9.33203125" style="1893"/>
    <col min="5121" max="5121" width="176.6640625" style="1893" customWidth="1"/>
    <col min="5122" max="5133" width="55" style="1893" customWidth="1"/>
    <col min="5134" max="5134" width="176.6640625" style="1893" customWidth="1"/>
    <col min="5135" max="5146" width="53" style="1893" customWidth="1"/>
    <col min="5147" max="5147" width="176.5" style="1893" customWidth="1"/>
    <col min="5148" max="5159" width="53" style="1893" customWidth="1"/>
    <col min="5160" max="5160" width="176.5" style="1893" customWidth="1"/>
    <col min="5161" max="5168" width="63" style="1893" customWidth="1"/>
    <col min="5169" max="5170" width="45.1640625" style="1893" customWidth="1"/>
    <col min="5171" max="5171" width="34.1640625" style="1893" customWidth="1"/>
    <col min="5172" max="5376" width="9.33203125" style="1893"/>
    <col min="5377" max="5377" width="176.6640625" style="1893" customWidth="1"/>
    <col min="5378" max="5389" width="55" style="1893" customWidth="1"/>
    <col min="5390" max="5390" width="176.6640625" style="1893" customWidth="1"/>
    <col min="5391" max="5402" width="53" style="1893" customWidth="1"/>
    <col min="5403" max="5403" width="176.5" style="1893" customWidth="1"/>
    <col min="5404" max="5415" width="53" style="1893" customWidth="1"/>
    <col min="5416" max="5416" width="176.5" style="1893" customWidth="1"/>
    <col min="5417" max="5424" width="63" style="1893" customWidth="1"/>
    <col min="5425" max="5426" width="45.1640625" style="1893" customWidth="1"/>
    <col min="5427" max="5427" width="34.1640625" style="1893" customWidth="1"/>
    <col min="5428" max="5632" width="9.33203125" style="1893"/>
    <col min="5633" max="5633" width="176.6640625" style="1893" customWidth="1"/>
    <col min="5634" max="5645" width="55" style="1893" customWidth="1"/>
    <col min="5646" max="5646" width="176.6640625" style="1893" customWidth="1"/>
    <col min="5647" max="5658" width="53" style="1893" customWidth="1"/>
    <col min="5659" max="5659" width="176.5" style="1893" customWidth="1"/>
    <col min="5660" max="5671" width="53" style="1893" customWidth="1"/>
    <col min="5672" max="5672" width="176.5" style="1893" customWidth="1"/>
    <col min="5673" max="5680" width="63" style="1893" customWidth="1"/>
    <col min="5681" max="5682" width="45.1640625" style="1893" customWidth="1"/>
    <col min="5683" max="5683" width="34.1640625" style="1893" customWidth="1"/>
    <col min="5684" max="5888" width="9.33203125" style="1893"/>
    <col min="5889" max="5889" width="176.6640625" style="1893" customWidth="1"/>
    <col min="5890" max="5901" width="55" style="1893" customWidth="1"/>
    <col min="5902" max="5902" width="176.6640625" style="1893" customWidth="1"/>
    <col min="5903" max="5914" width="53" style="1893" customWidth="1"/>
    <col min="5915" max="5915" width="176.5" style="1893" customWidth="1"/>
    <col min="5916" max="5927" width="53" style="1893" customWidth="1"/>
    <col min="5928" max="5928" width="176.5" style="1893" customWidth="1"/>
    <col min="5929" max="5936" width="63" style="1893" customWidth="1"/>
    <col min="5937" max="5938" width="45.1640625" style="1893" customWidth="1"/>
    <col min="5939" max="5939" width="34.1640625" style="1893" customWidth="1"/>
    <col min="5940" max="6144" width="9.33203125" style="1893"/>
    <col min="6145" max="6145" width="176.6640625" style="1893" customWidth="1"/>
    <col min="6146" max="6157" width="55" style="1893" customWidth="1"/>
    <col min="6158" max="6158" width="176.6640625" style="1893" customWidth="1"/>
    <col min="6159" max="6170" width="53" style="1893" customWidth="1"/>
    <col min="6171" max="6171" width="176.5" style="1893" customWidth="1"/>
    <col min="6172" max="6183" width="53" style="1893" customWidth="1"/>
    <col min="6184" max="6184" width="176.5" style="1893" customWidth="1"/>
    <col min="6185" max="6192" width="63" style="1893" customWidth="1"/>
    <col min="6193" max="6194" width="45.1640625" style="1893" customWidth="1"/>
    <col min="6195" max="6195" width="34.1640625" style="1893" customWidth="1"/>
    <col min="6196" max="6400" width="9.33203125" style="1893"/>
    <col min="6401" max="6401" width="176.6640625" style="1893" customWidth="1"/>
    <col min="6402" max="6413" width="55" style="1893" customWidth="1"/>
    <col min="6414" max="6414" width="176.6640625" style="1893" customWidth="1"/>
    <col min="6415" max="6426" width="53" style="1893" customWidth="1"/>
    <col min="6427" max="6427" width="176.5" style="1893" customWidth="1"/>
    <col min="6428" max="6439" width="53" style="1893" customWidth="1"/>
    <col min="6440" max="6440" width="176.5" style="1893" customWidth="1"/>
    <col min="6441" max="6448" width="63" style="1893" customWidth="1"/>
    <col min="6449" max="6450" width="45.1640625" style="1893" customWidth="1"/>
    <col min="6451" max="6451" width="34.1640625" style="1893" customWidth="1"/>
    <col min="6452" max="6656" width="9.33203125" style="1893"/>
    <col min="6657" max="6657" width="176.6640625" style="1893" customWidth="1"/>
    <col min="6658" max="6669" width="55" style="1893" customWidth="1"/>
    <col min="6670" max="6670" width="176.6640625" style="1893" customWidth="1"/>
    <col min="6671" max="6682" width="53" style="1893" customWidth="1"/>
    <col min="6683" max="6683" width="176.5" style="1893" customWidth="1"/>
    <col min="6684" max="6695" width="53" style="1893" customWidth="1"/>
    <col min="6696" max="6696" width="176.5" style="1893" customWidth="1"/>
    <col min="6697" max="6704" width="63" style="1893" customWidth="1"/>
    <col min="6705" max="6706" width="45.1640625" style="1893" customWidth="1"/>
    <col min="6707" max="6707" width="34.1640625" style="1893" customWidth="1"/>
    <col min="6708" max="6912" width="9.33203125" style="1893"/>
    <col min="6913" max="6913" width="176.6640625" style="1893" customWidth="1"/>
    <col min="6914" max="6925" width="55" style="1893" customWidth="1"/>
    <col min="6926" max="6926" width="176.6640625" style="1893" customWidth="1"/>
    <col min="6927" max="6938" width="53" style="1893" customWidth="1"/>
    <col min="6939" max="6939" width="176.5" style="1893" customWidth="1"/>
    <col min="6940" max="6951" width="53" style="1893" customWidth="1"/>
    <col min="6952" max="6952" width="176.5" style="1893" customWidth="1"/>
    <col min="6953" max="6960" width="63" style="1893" customWidth="1"/>
    <col min="6961" max="6962" width="45.1640625" style="1893" customWidth="1"/>
    <col min="6963" max="6963" width="34.1640625" style="1893" customWidth="1"/>
    <col min="6964" max="7168" width="9.33203125" style="1893"/>
    <col min="7169" max="7169" width="176.6640625" style="1893" customWidth="1"/>
    <col min="7170" max="7181" width="55" style="1893" customWidth="1"/>
    <col min="7182" max="7182" width="176.6640625" style="1893" customWidth="1"/>
    <col min="7183" max="7194" width="53" style="1893" customWidth="1"/>
    <col min="7195" max="7195" width="176.5" style="1893" customWidth="1"/>
    <col min="7196" max="7207" width="53" style="1893" customWidth="1"/>
    <col min="7208" max="7208" width="176.5" style="1893" customWidth="1"/>
    <col min="7209" max="7216" width="63" style="1893" customWidth="1"/>
    <col min="7217" max="7218" width="45.1640625" style="1893" customWidth="1"/>
    <col min="7219" max="7219" width="34.1640625" style="1893" customWidth="1"/>
    <col min="7220" max="7424" width="9.33203125" style="1893"/>
    <col min="7425" max="7425" width="176.6640625" style="1893" customWidth="1"/>
    <col min="7426" max="7437" width="55" style="1893" customWidth="1"/>
    <col min="7438" max="7438" width="176.6640625" style="1893" customWidth="1"/>
    <col min="7439" max="7450" width="53" style="1893" customWidth="1"/>
    <col min="7451" max="7451" width="176.5" style="1893" customWidth="1"/>
    <col min="7452" max="7463" width="53" style="1893" customWidth="1"/>
    <col min="7464" max="7464" width="176.5" style="1893" customWidth="1"/>
    <col min="7465" max="7472" width="63" style="1893" customWidth="1"/>
    <col min="7473" max="7474" width="45.1640625" style="1893" customWidth="1"/>
    <col min="7475" max="7475" width="34.1640625" style="1893" customWidth="1"/>
    <col min="7476" max="7680" width="9.33203125" style="1893"/>
    <col min="7681" max="7681" width="176.6640625" style="1893" customWidth="1"/>
    <col min="7682" max="7693" width="55" style="1893" customWidth="1"/>
    <col min="7694" max="7694" width="176.6640625" style="1893" customWidth="1"/>
    <col min="7695" max="7706" width="53" style="1893" customWidth="1"/>
    <col min="7707" max="7707" width="176.5" style="1893" customWidth="1"/>
    <col min="7708" max="7719" width="53" style="1893" customWidth="1"/>
    <col min="7720" max="7720" width="176.5" style="1893" customWidth="1"/>
    <col min="7721" max="7728" width="63" style="1893" customWidth="1"/>
    <col min="7729" max="7730" width="45.1640625" style="1893" customWidth="1"/>
    <col min="7731" max="7731" width="34.1640625" style="1893" customWidth="1"/>
    <col min="7732" max="7936" width="9.33203125" style="1893"/>
    <col min="7937" max="7937" width="176.6640625" style="1893" customWidth="1"/>
    <col min="7938" max="7949" width="55" style="1893" customWidth="1"/>
    <col min="7950" max="7950" width="176.6640625" style="1893" customWidth="1"/>
    <col min="7951" max="7962" width="53" style="1893" customWidth="1"/>
    <col min="7963" max="7963" width="176.5" style="1893" customWidth="1"/>
    <col min="7964" max="7975" width="53" style="1893" customWidth="1"/>
    <col min="7976" max="7976" width="176.5" style="1893" customWidth="1"/>
    <col min="7977" max="7984" width="63" style="1893" customWidth="1"/>
    <col min="7985" max="7986" width="45.1640625" style="1893" customWidth="1"/>
    <col min="7987" max="7987" width="34.1640625" style="1893" customWidth="1"/>
    <col min="7988" max="8192" width="9.33203125" style="1893"/>
    <col min="8193" max="8193" width="176.6640625" style="1893" customWidth="1"/>
    <col min="8194" max="8205" width="55" style="1893" customWidth="1"/>
    <col min="8206" max="8206" width="176.6640625" style="1893" customWidth="1"/>
    <col min="8207" max="8218" width="53" style="1893" customWidth="1"/>
    <col min="8219" max="8219" width="176.5" style="1893" customWidth="1"/>
    <col min="8220" max="8231" width="53" style="1893" customWidth="1"/>
    <col min="8232" max="8232" width="176.5" style="1893" customWidth="1"/>
    <col min="8233" max="8240" width="63" style="1893" customWidth="1"/>
    <col min="8241" max="8242" width="45.1640625" style="1893" customWidth="1"/>
    <col min="8243" max="8243" width="34.1640625" style="1893" customWidth="1"/>
    <col min="8244" max="8448" width="9.33203125" style="1893"/>
    <col min="8449" max="8449" width="176.6640625" style="1893" customWidth="1"/>
    <col min="8450" max="8461" width="55" style="1893" customWidth="1"/>
    <col min="8462" max="8462" width="176.6640625" style="1893" customWidth="1"/>
    <col min="8463" max="8474" width="53" style="1893" customWidth="1"/>
    <col min="8475" max="8475" width="176.5" style="1893" customWidth="1"/>
    <col min="8476" max="8487" width="53" style="1893" customWidth="1"/>
    <col min="8488" max="8488" width="176.5" style="1893" customWidth="1"/>
    <col min="8489" max="8496" width="63" style="1893" customWidth="1"/>
    <col min="8497" max="8498" width="45.1640625" style="1893" customWidth="1"/>
    <col min="8499" max="8499" width="34.1640625" style="1893" customWidth="1"/>
    <col min="8500" max="8704" width="9.33203125" style="1893"/>
    <col min="8705" max="8705" width="176.6640625" style="1893" customWidth="1"/>
    <col min="8706" max="8717" width="55" style="1893" customWidth="1"/>
    <col min="8718" max="8718" width="176.6640625" style="1893" customWidth="1"/>
    <col min="8719" max="8730" width="53" style="1893" customWidth="1"/>
    <col min="8731" max="8731" width="176.5" style="1893" customWidth="1"/>
    <col min="8732" max="8743" width="53" style="1893" customWidth="1"/>
    <col min="8744" max="8744" width="176.5" style="1893" customWidth="1"/>
    <col min="8745" max="8752" width="63" style="1893" customWidth="1"/>
    <col min="8753" max="8754" width="45.1640625" style="1893" customWidth="1"/>
    <col min="8755" max="8755" width="34.1640625" style="1893" customWidth="1"/>
    <col min="8756" max="8960" width="9.33203125" style="1893"/>
    <col min="8961" max="8961" width="176.6640625" style="1893" customWidth="1"/>
    <col min="8962" max="8973" width="55" style="1893" customWidth="1"/>
    <col min="8974" max="8974" width="176.6640625" style="1893" customWidth="1"/>
    <col min="8975" max="8986" width="53" style="1893" customWidth="1"/>
    <col min="8987" max="8987" width="176.5" style="1893" customWidth="1"/>
    <col min="8988" max="8999" width="53" style="1893" customWidth="1"/>
    <col min="9000" max="9000" width="176.5" style="1893" customWidth="1"/>
    <col min="9001" max="9008" width="63" style="1893" customWidth="1"/>
    <col min="9009" max="9010" width="45.1640625" style="1893" customWidth="1"/>
    <col min="9011" max="9011" width="34.1640625" style="1893" customWidth="1"/>
    <col min="9012" max="9216" width="9.33203125" style="1893"/>
    <col min="9217" max="9217" width="176.6640625" style="1893" customWidth="1"/>
    <col min="9218" max="9229" width="55" style="1893" customWidth="1"/>
    <col min="9230" max="9230" width="176.6640625" style="1893" customWidth="1"/>
    <col min="9231" max="9242" width="53" style="1893" customWidth="1"/>
    <col min="9243" max="9243" width="176.5" style="1893" customWidth="1"/>
    <col min="9244" max="9255" width="53" style="1893" customWidth="1"/>
    <col min="9256" max="9256" width="176.5" style="1893" customWidth="1"/>
    <col min="9257" max="9264" width="63" style="1893" customWidth="1"/>
    <col min="9265" max="9266" width="45.1640625" style="1893" customWidth="1"/>
    <col min="9267" max="9267" width="34.1640625" style="1893" customWidth="1"/>
    <col min="9268" max="9472" width="9.33203125" style="1893"/>
    <col min="9473" max="9473" width="176.6640625" style="1893" customWidth="1"/>
    <col min="9474" max="9485" width="55" style="1893" customWidth="1"/>
    <col min="9486" max="9486" width="176.6640625" style="1893" customWidth="1"/>
    <col min="9487" max="9498" width="53" style="1893" customWidth="1"/>
    <col min="9499" max="9499" width="176.5" style="1893" customWidth="1"/>
    <col min="9500" max="9511" width="53" style="1893" customWidth="1"/>
    <col min="9512" max="9512" width="176.5" style="1893" customWidth="1"/>
    <col min="9513" max="9520" width="63" style="1893" customWidth="1"/>
    <col min="9521" max="9522" width="45.1640625" style="1893" customWidth="1"/>
    <col min="9523" max="9523" width="34.1640625" style="1893" customWidth="1"/>
    <col min="9524" max="9728" width="9.33203125" style="1893"/>
    <col min="9729" max="9729" width="176.6640625" style="1893" customWidth="1"/>
    <col min="9730" max="9741" width="55" style="1893" customWidth="1"/>
    <col min="9742" max="9742" width="176.6640625" style="1893" customWidth="1"/>
    <col min="9743" max="9754" width="53" style="1893" customWidth="1"/>
    <col min="9755" max="9755" width="176.5" style="1893" customWidth="1"/>
    <col min="9756" max="9767" width="53" style="1893" customWidth="1"/>
    <col min="9768" max="9768" width="176.5" style="1893" customWidth="1"/>
    <col min="9769" max="9776" width="63" style="1893" customWidth="1"/>
    <col min="9777" max="9778" width="45.1640625" style="1893" customWidth="1"/>
    <col min="9779" max="9779" width="34.1640625" style="1893" customWidth="1"/>
    <col min="9780" max="9984" width="9.33203125" style="1893"/>
    <col min="9985" max="9985" width="176.6640625" style="1893" customWidth="1"/>
    <col min="9986" max="9997" width="55" style="1893" customWidth="1"/>
    <col min="9998" max="9998" width="176.6640625" style="1893" customWidth="1"/>
    <col min="9999" max="10010" width="53" style="1893" customWidth="1"/>
    <col min="10011" max="10011" width="176.5" style="1893" customWidth="1"/>
    <col min="10012" max="10023" width="53" style="1893" customWidth="1"/>
    <col min="10024" max="10024" width="176.5" style="1893" customWidth="1"/>
    <col min="10025" max="10032" width="63" style="1893" customWidth="1"/>
    <col min="10033" max="10034" width="45.1640625" style="1893" customWidth="1"/>
    <col min="10035" max="10035" width="34.1640625" style="1893" customWidth="1"/>
    <col min="10036" max="10240" width="9.33203125" style="1893"/>
    <col min="10241" max="10241" width="176.6640625" style="1893" customWidth="1"/>
    <col min="10242" max="10253" width="55" style="1893" customWidth="1"/>
    <col min="10254" max="10254" width="176.6640625" style="1893" customWidth="1"/>
    <col min="10255" max="10266" width="53" style="1893" customWidth="1"/>
    <col min="10267" max="10267" width="176.5" style="1893" customWidth="1"/>
    <col min="10268" max="10279" width="53" style="1893" customWidth="1"/>
    <col min="10280" max="10280" width="176.5" style="1893" customWidth="1"/>
    <col min="10281" max="10288" width="63" style="1893" customWidth="1"/>
    <col min="10289" max="10290" width="45.1640625" style="1893" customWidth="1"/>
    <col min="10291" max="10291" width="34.1640625" style="1893" customWidth="1"/>
    <col min="10292" max="10496" width="9.33203125" style="1893"/>
    <col min="10497" max="10497" width="176.6640625" style="1893" customWidth="1"/>
    <col min="10498" max="10509" width="55" style="1893" customWidth="1"/>
    <col min="10510" max="10510" width="176.6640625" style="1893" customWidth="1"/>
    <col min="10511" max="10522" width="53" style="1893" customWidth="1"/>
    <col min="10523" max="10523" width="176.5" style="1893" customWidth="1"/>
    <col min="10524" max="10535" width="53" style="1893" customWidth="1"/>
    <col min="10536" max="10536" width="176.5" style="1893" customWidth="1"/>
    <col min="10537" max="10544" width="63" style="1893" customWidth="1"/>
    <col min="10545" max="10546" width="45.1640625" style="1893" customWidth="1"/>
    <col min="10547" max="10547" width="34.1640625" style="1893" customWidth="1"/>
    <col min="10548" max="10752" width="9.33203125" style="1893"/>
    <col min="10753" max="10753" width="176.6640625" style="1893" customWidth="1"/>
    <col min="10754" max="10765" width="55" style="1893" customWidth="1"/>
    <col min="10766" max="10766" width="176.6640625" style="1893" customWidth="1"/>
    <col min="10767" max="10778" width="53" style="1893" customWidth="1"/>
    <col min="10779" max="10779" width="176.5" style="1893" customWidth="1"/>
    <col min="10780" max="10791" width="53" style="1893" customWidth="1"/>
    <col min="10792" max="10792" width="176.5" style="1893" customWidth="1"/>
    <col min="10793" max="10800" width="63" style="1893" customWidth="1"/>
    <col min="10801" max="10802" width="45.1640625" style="1893" customWidth="1"/>
    <col min="10803" max="10803" width="34.1640625" style="1893" customWidth="1"/>
    <col min="10804" max="11008" width="9.33203125" style="1893"/>
    <col min="11009" max="11009" width="176.6640625" style="1893" customWidth="1"/>
    <col min="11010" max="11021" width="55" style="1893" customWidth="1"/>
    <col min="11022" max="11022" width="176.6640625" style="1893" customWidth="1"/>
    <col min="11023" max="11034" width="53" style="1893" customWidth="1"/>
    <col min="11035" max="11035" width="176.5" style="1893" customWidth="1"/>
    <col min="11036" max="11047" width="53" style="1893" customWidth="1"/>
    <col min="11048" max="11048" width="176.5" style="1893" customWidth="1"/>
    <col min="11049" max="11056" width="63" style="1893" customWidth="1"/>
    <col min="11057" max="11058" width="45.1640625" style="1893" customWidth="1"/>
    <col min="11059" max="11059" width="34.1640625" style="1893" customWidth="1"/>
    <col min="11060" max="11264" width="9.33203125" style="1893"/>
    <col min="11265" max="11265" width="176.6640625" style="1893" customWidth="1"/>
    <col min="11266" max="11277" width="55" style="1893" customWidth="1"/>
    <col min="11278" max="11278" width="176.6640625" style="1893" customWidth="1"/>
    <col min="11279" max="11290" width="53" style="1893" customWidth="1"/>
    <col min="11291" max="11291" width="176.5" style="1893" customWidth="1"/>
    <col min="11292" max="11303" width="53" style="1893" customWidth="1"/>
    <col min="11304" max="11304" width="176.5" style="1893" customWidth="1"/>
    <col min="11305" max="11312" width="63" style="1893" customWidth="1"/>
    <col min="11313" max="11314" width="45.1640625" style="1893" customWidth="1"/>
    <col min="11315" max="11315" width="34.1640625" style="1893" customWidth="1"/>
    <col min="11316" max="11520" width="9.33203125" style="1893"/>
    <col min="11521" max="11521" width="176.6640625" style="1893" customWidth="1"/>
    <col min="11522" max="11533" width="55" style="1893" customWidth="1"/>
    <col min="11534" max="11534" width="176.6640625" style="1893" customWidth="1"/>
    <col min="11535" max="11546" width="53" style="1893" customWidth="1"/>
    <col min="11547" max="11547" width="176.5" style="1893" customWidth="1"/>
    <col min="11548" max="11559" width="53" style="1893" customWidth="1"/>
    <col min="11560" max="11560" width="176.5" style="1893" customWidth="1"/>
    <col min="11561" max="11568" width="63" style="1893" customWidth="1"/>
    <col min="11569" max="11570" width="45.1640625" style="1893" customWidth="1"/>
    <col min="11571" max="11571" width="34.1640625" style="1893" customWidth="1"/>
    <col min="11572" max="11776" width="9.33203125" style="1893"/>
    <col min="11777" max="11777" width="176.6640625" style="1893" customWidth="1"/>
    <col min="11778" max="11789" width="55" style="1893" customWidth="1"/>
    <col min="11790" max="11790" width="176.6640625" style="1893" customWidth="1"/>
    <col min="11791" max="11802" width="53" style="1893" customWidth="1"/>
    <col min="11803" max="11803" width="176.5" style="1893" customWidth="1"/>
    <col min="11804" max="11815" width="53" style="1893" customWidth="1"/>
    <col min="11816" max="11816" width="176.5" style="1893" customWidth="1"/>
    <col min="11817" max="11824" width="63" style="1893" customWidth="1"/>
    <col min="11825" max="11826" width="45.1640625" style="1893" customWidth="1"/>
    <col min="11827" max="11827" width="34.1640625" style="1893" customWidth="1"/>
    <col min="11828" max="12032" width="9.33203125" style="1893"/>
    <col min="12033" max="12033" width="176.6640625" style="1893" customWidth="1"/>
    <col min="12034" max="12045" width="55" style="1893" customWidth="1"/>
    <col min="12046" max="12046" width="176.6640625" style="1893" customWidth="1"/>
    <col min="12047" max="12058" width="53" style="1893" customWidth="1"/>
    <col min="12059" max="12059" width="176.5" style="1893" customWidth="1"/>
    <col min="12060" max="12071" width="53" style="1893" customWidth="1"/>
    <col min="12072" max="12072" width="176.5" style="1893" customWidth="1"/>
    <col min="12073" max="12080" width="63" style="1893" customWidth="1"/>
    <col min="12081" max="12082" width="45.1640625" style="1893" customWidth="1"/>
    <col min="12083" max="12083" width="34.1640625" style="1893" customWidth="1"/>
    <col min="12084" max="12288" width="9.33203125" style="1893"/>
    <col min="12289" max="12289" width="176.6640625" style="1893" customWidth="1"/>
    <col min="12290" max="12301" width="55" style="1893" customWidth="1"/>
    <col min="12302" max="12302" width="176.6640625" style="1893" customWidth="1"/>
    <col min="12303" max="12314" width="53" style="1893" customWidth="1"/>
    <col min="12315" max="12315" width="176.5" style="1893" customWidth="1"/>
    <col min="12316" max="12327" width="53" style="1893" customWidth="1"/>
    <col min="12328" max="12328" width="176.5" style="1893" customWidth="1"/>
    <col min="12329" max="12336" width="63" style="1893" customWidth="1"/>
    <col min="12337" max="12338" width="45.1640625" style="1893" customWidth="1"/>
    <col min="12339" max="12339" width="34.1640625" style="1893" customWidth="1"/>
    <col min="12340" max="12544" width="9.33203125" style="1893"/>
    <col min="12545" max="12545" width="176.6640625" style="1893" customWidth="1"/>
    <col min="12546" max="12557" width="55" style="1893" customWidth="1"/>
    <col min="12558" max="12558" width="176.6640625" style="1893" customWidth="1"/>
    <col min="12559" max="12570" width="53" style="1893" customWidth="1"/>
    <col min="12571" max="12571" width="176.5" style="1893" customWidth="1"/>
    <col min="12572" max="12583" width="53" style="1893" customWidth="1"/>
    <col min="12584" max="12584" width="176.5" style="1893" customWidth="1"/>
    <col min="12585" max="12592" width="63" style="1893" customWidth="1"/>
    <col min="12593" max="12594" width="45.1640625" style="1893" customWidth="1"/>
    <col min="12595" max="12595" width="34.1640625" style="1893" customWidth="1"/>
    <col min="12596" max="12800" width="9.33203125" style="1893"/>
    <col min="12801" max="12801" width="176.6640625" style="1893" customWidth="1"/>
    <col min="12802" max="12813" width="55" style="1893" customWidth="1"/>
    <col min="12814" max="12814" width="176.6640625" style="1893" customWidth="1"/>
    <col min="12815" max="12826" width="53" style="1893" customWidth="1"/>
    <col min="12827" max="12827" width="176.5" style="1893" customWidth="1"/>
    <col min="12828" max="12839" width="53" style="1893" customWidth="1"/>
    <col min="12840" max="12840" width="176.5" style="1893" customWidth="1"/>
    <col min="12841" max="12848" width="63" style="1893" customWidth="1"/>
    <col min="12849" max="12850" width="45.1640625" style="1893" customWidth="1"/>
    <col min="12851" max="12851" width="34.1640625" style="1893" customWidth="1"/>
    <col min="12852" max="13056" width="9.33203125" style="1893"/>
    <col min="13057" max="13057" width="176.6640625" style="1893" customWidth="1"/>
    <col min="13058" max="13069" width="55" style="1893" customWidth="1"/>
    <col min="13070" max="13070" width="176.6640625" style="1893" customWidth="1"/>
    <col min="13071" max="13082" width="53" style="1893" customWidth="1"/>
    <col min="13083" max="13083" width="176.5" style="1893" customWidth="1"/>
    <col min="13084" max="13095" width="53" style="1893" customWidth="1"/>
    <col min="13096" max="13096" width="176.5" style="1893" customWidth="1"/>
    <col min="13097" max="13104" width="63" style="1893" customWidth="1"/>
    <col min="13105" max="13106" width="45.1640625" style="1893" customWidth="1"/>
    <col min="13107" max="13107" width="34.1640625" style="1893" customWidth="1"/>
    <col min="13108" max="13312" width="9.33203125" style="1893"/>
    <col min="13313" max="13313" width="176.6640625" style="1893" customWidth="1"/>
    <col min="13314" max="13325" width="55" style="1893" customWidth="1"/>
    <col min="13326" max="13326" width="176.6640625" style="1893" customWidth="1"/>
    <col min="13327" max="13338" width="53" style="1893" customWidth="1"/>
    <col min="13339" max="13339" width="176.5" style="1893" customWidth="1"/>
    <col min="13340" max="13351" width="53" style="1893" customWidth="1"/>
    <col min="13352" max="13352" width="176.5" style="1893" customWidth="1"/>
    <col min="13353" max="13360" width="63" style="1893" customWidth="1"/>
    <col min="13361" max="13362" width="45.1640625" style="1893" customWidth="1"/>
    <col min="13363" max="13363" width="34.1640625" style="1893" customWidth="1"/>
    <col min="13364" max="13568" width="9.33203125" style="1893"/>
    <col min="13569" max="13569" width="176.6640625" style="1893" customWidth="1"/>
    <col min="13570" max="13581" width="55" style="1893" customWidth="1"/>
    <col min="13582" max="13582" width="176.6640625" style="1893" customWidth="1"/>
    <col min="13583" max="13594" width="53" style="1893" customWidth="1"/>
    <col min="13595" max="13595" width="176.5" style="1893" customWidth="1"/>
    <col min="13596" max="13607" width="53" style="1893" customWidth="1"/>
    <col min="13608" max="13608" width="176.5" style="1893" customWidth="1"/>
    <col min="13609" max="13616" width="63" style="1893" customWidth="1"/>
    <col min="13617" max="13618" width="45.1640625" style="1893" customWidth="1"/>
    <col min="13619" max="13619" width="34.1640625" style="1893" customWidth="1"/>
    <col min="13620" max="13824" width="9.33203125" style="1893"/>
    <col min="13825" max="13825" width="176.6640625" style="1893" customWidth="1"/>
    <col min="13826" max="13837" width="55" style="1893" customWidth="1"/>
    <col min="13838" max="13838" width="176.6640625" style="1893" customWidth="1"/>
    <col min="13839" max="13850" width="53" style="1893" customWidth="1"/>
    <col min="13851" max="13851" width="176.5" style="1893" customWidth="1"/>
    <col min="13852" max="13863" width="53" style="1893" customWidth="1"/>
    <col min="13864" max="13864" width="176.5" style="1893" customWidth="1"/>
    <col min="13865" max="13872" width="63" style="1893" customWidth="1"/>
    <col min="13873" max="13874" width="45.1640625" style="1893" customWidth="1"/>
    <col min="13875" max="13875" width="34.1640625" style="1893" customWidth="1"/>
    <col min="13876" max="14080" width="9.33203125" style="1893"/>
    <col min="14081" max="14081" width="176.6640625" style="1893" customWidth="1"/>
    <col min="14082" max="14093" width="55" style="1893" customWidth="1"/>
    <col min="14094" max="14094" width="176.6640625" style="1893" customWidth="1"/>
    <col min="14095" max="14106" width="53" style="1893" customWidth="1"/>
    <col min="14107" max="14107" width="176.5" style="1893" customWidth="1"/>
    <col min="14108" max="14119" width="53" style="1893" customWidth="1"/>
    <col min="14120" max="14120" width="176.5" style="1893" customWidth="1"/>
    <col min="14121" max="14128" width="63" style="1893" customWidth="1"/>
    <col min="14129" max="14130" width="45.1640625" style="1893" customWidth="1"/>
    <col min="14131" max="14131" width="34.1640625" style="1893" customWidth="1"/>
    <col min="14132" max="14336" width="9.33203125" style="1893"/>
    <col min="14337" max="14337" width="176.6640625" style="1893" customWidth="1"/>
    <col min="14338" max="14349" width="55" style="1893" customWidth="1"/>
    <col min="14350" max="14350" width="176.6640625" style="1893" customWidth="1"/>
    <col min="14351" max="14362" width="53" style="1893" customWidth="1"/>
    <col min="14363" max="14363" width="176.5" style="1893" customWidth="1"/>
    <col min="14364" max="14375" width="53" style="1893" customWidth="1"/>
    <col min="14376" max="14376" width="176.5" style="1893" customWidth="1"/>
    <col min="14377" max="14384" width="63" style="1893" customWidth="1"/>
    <col min="14385" max="14386" width="45.1640625" style="1893" customWidth="1"/>
    <col min="14387" max="14387" width="34.1640625" style="1893" customWidth="1"/>
    <col min="14388" max="14592" width="9.33203125" style="1893"/>
    <col min="14593" max="14593" width="176.6640625" style="1893" customWidth="1"/>
    <col min="14594" max="14605" width="55" style="1893" customWidth="1"/>
    <col min="14606" max="14606" width="176.6640625" style="1893" customWidth="1"/>
    <col min="14607" max="14618" width="53" style="1893" customWidth="1"/>
    <col min="14619" max="14619" width="176.5" style="1893" customWidth="1"/>
    <col min="14620" max="14631" width="53" style="1893" customWidth="1"/>
    <col min="14632" max="14632" width="176.5" style="1893" customWidth="1"/>
    <col min="14633" max="14640" width="63" style="1893" customWidth="1"/>
    <col min="14641" max="14642" width="45.1640625" style="1893" customWidth="1"/>
    <col min="14643" max="14643" width="34.1640625" style="1893" customWidth="1"/>
    <col min="14644" max="14848" width="9.33203125" style="1893"/>
    <col min="14849" max="14849" width="176.6640625" style="1893" customWidth="1"/>
    <col min="14850" max="14861" width="55" style="1893" customWidth="1"/>
    <col min="14862" max="14862" width="176.6640625" style="1893" customWidth="1"/>
    <col min="14863" max="14874" width="53" style="1893" customWidth="1"/>
    <col min="14875" max="14875" width="176.5" style="1893" customWidth="1"/>
    <col min="14876" max="14887" width="53" style="1893" customWidth="1"/>
    <col min="14888" max="14888" width="176.5" style="1893" customWidth="1"/>
    <col min="14889" max="14896" width="63" style="1893" customWidth="1"/>
    <col min="14897" max="14898" width="45.1640625" style="1893" customWidth="1"/>
    <col min="14899" max="14899" width="34.1640625" style="1893" customWidth="1"/>
    <col min="14900" max="15104" width="9.33203125" style="1893"/>
    <col min="15105" max="15105" width="176.6640625" style="1893" customWidth="1"/>
    <col min="15106" max="15117" width="55" style="1893" customWidth="1"/>
    <col min="15118" max="15118" width="176.6640625" style="1893" customWidth="1"/>
    <col min="15119" max="15130" width="53" style="1893" customWidth="1"/>
    <col min="15131" max="15131" width="176.5" style="1893" customWidth="1"/>
    <col min="15132" max="15143" width="53" style="1893" customWidth="1"/>
    <col min="15144" max="15144" width="176.5" style="1893" customWidth="1"/>
    <col min="15145" max="15152" width="63" style="1893" customWidth="1"/>
    <col min="15153" max="15154" width="45.1640625" style="1893" customWidth="1"/>
    <col min="15155" max="15155" width="34.1640625" style="1893" customWidth="1"/>
    <col min="15156" max="15360" width="9.33203125" style="1893"/>
    <col min="15361" max="15361" width="176.6640625" style="1893" customWidth="1"/>
    <col min="15362" max="15373" width="55" style="1893" customWidth="1"/>
    <col min="15374" max="15374" width="176.6640625" style="1893" customWidth="1"/>
    <col min="15375" max="15386" width="53" style="1893" customWidth="1"/>
    <col min="15387" max="15387" width="176.5" style="1893" customWidth="1"/>
    <col min="15388" max="15399" width="53" style="1893" customWidth="1"/>
    <col min="15400" max="15400" width="176.5" style="1893" customWidth="1"/>
    <col min="15401" max="15408" width="63" style="1893" customWidth="1"/>
    <col min="15409" max="15410" width="45.1640625" style="1893" customWidth="1"/>
    <col min="15411" max="15411" width="34.1640625" style="1893" customWidth="1"/>
    <col min="15412" max="15616" width="9.33203125" style="1893"/>
    <col min="15617" max="15617" width="176.6640625" style="1893" customWidth="1"/>
    <col min="15618" max="15629" width="55" style="1893" customWidth="1"/>
    <col min="15630" max="15630" width="176.6640625" style="1893" customWidth="1"/>
    <col min="15631" max="15642" width="53" style="1893" customWidth="1"/>
    <col min="15643" max="15643" width="176.5" style="1893" customWidth="1"/>
    <col min="15644" max="15655" width="53" style="1893" customWidth="1"/>
    <col min="15656" max="15656" width="176.5" style="1893" customWidth="1"/>
    <col min="15657" max="15664" width="63" style="1893" customWidth="1"/>
    <col min="15665" max="15666" width="45.1640625" style="1893" customWidth="1"/>
    <col min="15667" max="15667" width="34.1640625" style="1893" customWidth="1"/>
    <col min="15668" max="15872" width="9.33203125" style="1893"/>
    <col min="15873" max="15873" width="176.6640625" style="1893" customWidth="1"/>
    <col min="15874" max="15885" width="55" style="1893" customWidth="1"/>
    <col min="15886" max="15886" width="176.6640625" style="1893" customWidth="1"/>
    <col min="15887" max="15898" width="53" style="1893" customWidth="1"/>
    <col min="15899" max="15899" width="176.5" style="1893" customWidth="1"/>
    <col min="15900" max="15911" width="53" style="1893" customWidth="1"/>
    <col min="15912" max="15912" width="176.5" style="1893" customWidth="1"/>
    <col min="15913" max="15920" width="63" style="1893" customWidth="1"/>
    <col min="15921" max="15922" width="45.1640625" style="1893" customWidth="1"/>
    <col min="15923" max="15923" width="34.1640625" style="1893" customWidth="1"/>
    <col min="15924" max="16128" width="9.33203125" style="1893"/>
    <col min="16129" max="16129" width="176.6640625" style="1893" customWidth="1"/>
    <col min="16130" max="16141" width="55" style="1893" customWidth="1"/>
    <col min="16142" max="16142" width="176.6640625" style="1893" customWidth="1"/>
    <col min="16143" max="16154" width="53" style="1893" customWidth="1"/>
    <col min="16155" max="16155" width="176.5" style="1893" customWidth="1"/>
    <col min="16156" max="16167" width="53" style="1893" customWidth="1"/>
    <col min="16168" max="16168" width="176.5" style="1893" customWidth="1"/>
    <col min="16169" max="16176" width="63" style="1893" customWidth="1"/>
    <col min="16177" max="16178" width="45.1640625" style="1893" customWidth="1"/>
    <col min="16179" max="16179" width="34.1640625" style="1893" customWidth="1"/>
    <col min="16180" max="16384" width="9.33203125" style="1893"/>
  </cols>
  <sheetData>
    <row r="1" spans="1:51" ht="38.25" customHeight="1" x14ac:dyDescent="0.3"/>
    <row r="2" spans="1:51" s="1982" customFormat="1" ht="54" customHeight="1" x14ac:dyDescent="0.7">
      <c r="A2" s="2643" t="s">
        <v>664</v>
      </c>
      <c r="B2" s="2643"/>
      <c r="C2" s="2643"/>
      <c r="D2" s="2643"/>
      <c r="E2" s="2643"/>
      <c r="F2" s="2643"/>
      <c r="G2" s="2643"/>
      <c r="H2" s="2643"/>
      <c r="I2" s="2643"/>
      <c r="J2" s="2643"/>
      <c r="K2" s="2643"/>
      <c r="L2" s="2643"/>
      <c r="M2" s="2643"/>
      <c r="N2" s="2643" t="s">
        <v>664</v>
      </c>
      <c r="O2" s="2643"/>
      <c r="P2" s="2643"/>
      <c r="Q2" s="2643"/>
      <c r="R2" s="2643"/>
      <c r="S2" s="2643"/>
      <c r="T2" s="2643"/>
      <c r="U2" s="2643"/>
      <c r="V2" s="2643"/>
      <c r="W2" s="2643"/>
      <c r="X2" s="2643"/>
      <c r="Y2" s="2643"/>
      <c r="Z2" s="2643"/>
      <c r="AA2" s="2643" t="s">
        <v>664</v>
      </c>
      <c r="AB2" s="2643"/>
      <c r="AC2" s="2643"/>
      <c r="AD2" s="2643"/>
      <c r="AE2" s="2643"/>
      <c r="AF2" s="2643"/>
      <c r="AG2" s="2643"/>
      <c r="AH2" s="2643"/>
      <c r="AI2" s="2643"/>
      <c r="AJ2" s="2643"/>
      <c r="AK2" s="2643"/>
      <c r="AL2" s="2643"/>
      <c r="AM2" s="2643"/>
      <c r="AN2" s="2643" t="s">
        <v>664</v>
      </c>
      <c r="AO2" s="2643"/>
      <c r="AP2" s="2643"/>
      <c r="AQ2" s="2643"/>
      <c r="AR2" s="2643"/>
      <c r="AS2" s="2643"/>
      <c r="AT2" s="2643"/>
      <c r="AU2" s="2643"/>
      <c r="AV2" s="2643"/>
      <c r="AW2" s="1981"/>
      <c r="AX2" s="1981"/>
      <c r="AY2" s="1981"/>
    </row>
    <row r="3" spans="1:51" s="1982" customFormat="1" ht="54" customHeight="1" x14ac:dyDescent="0.7">
      <c r="A3" s="2643" t="s">
        <v>1360</v>
      </c>
      <c r="B3" s="2643"/>
      <c r="C3" s="2643"/>
      <c r="D3" s="2643"/>
      <c r="E3" s="2643"/>
      <c r="F3" s="2643"/>
      <c r="G3" s="2643"/>
      <c r="H3" s="2643"/>
      <c r="I3" s="2643"/>
      <c r="J3" s="2643"/>
      <c r="K3" s="2643"/>
      <c r="L3" s="2643"/>
      <c r="M3" s="2643"/>
      <c r="N3" s="2643" t="s">
        <v>1360</v>
      </c>
      <c r="O3" s="2643"/>
      <c r="P3" s="2643"/>
      <c r="Q3" s="2643"/>
      <c r="R3" s="2643"/>
      <c r="S3" s="2643"/>
      <c r="T3" s="2643"/>
      <c r="U3" s="2643"/>
      <c r="V3" s="2643"/>
      <c r="W3" s="2643"/>
      <c r="X3" s="2643"/>
      <c r="Y3" s="2643"/>
      <c r="Z3" s="2643"/>
      <c r="AA3" s="2643" t="s">
        <v>1360</v>
      </c>
      <c r="AB3" s="2643"/>
      <c r="AC3" s="2643"/>
      <c r="AD3" s="2643"/>
      <c r="AE3" s="2643"/>
      <c r="AF3" s="2643"/>
      <c r="AG3" s="2643"/>
      <c r="AH3" s="2643"/>
      <c r="AI3" s="2643"/>
      <c r="AJ3" s="2643"/>
      <c r="AK3" s="2643"/>
      <c r="AL3" s="2643"/>
      <c r="AM3" s="2643"/>
      <c r="AN3" s="2643" t="s">
        <v>1360</v>
      </c>
      <c r="AO3" s="2643"/>
      <c r="AP3" s="2643"/>
      <c r="AQ3" s="2643"/>
      <c r="AR3" s="2643"/>
      <c r="AS3" s="2643"/>
      <c r="AT3" s="2643"/>
      <c r="AU3" s="2643"/>
      <c r="AV3" s="2643"/>
      <c r="AW3" s="1981"/>
      <c r="AX3" s="1981"/>
      <c r="AY3" s="1981"/>
    </row>
    <row r="4" spans="1:51" ht="62.25" customHeight="1" thickBot="1" x14ac:dyDescent="0.35"/>
    <row r="5" spans="1:51" s="1827" customFormat="1" ht="55.5" customHeight="1" x14ac:dyDescent="0.6">
      <c r="A5" s="1826"/>
      <c r="B5" s="2618" t="s">
        <v>1243</v>
      </c>
      <c r="C5" s="2619"/>
      <c r="D5" s="2619"/>
      <c r="E5" s="2620"/>
      <c r="F5" s="2627" t="s">
        <v>1361</v>
      </c>
      <c r="G5" s="2628"/>
      <c r="H5" s="2628"/>
      <c r="I5" s="2629"/>
      <c r="J5" s="2618" t="s">
        <v>1362</v>
      </c>
      <c r="K5" s="2619"/>
      <c r="L5" s="2619"/>
      <c r="M5" s="2620"/>
      <c r="N5" s="1826"/>
      <c r="O5" s="2618" t="s">
        <v>1252</v>
      </c>
      <c r="P5" s="2619"/>
      <c r="Q5" s="2619"/>
      <c r="R5" s="2620"/>
      <c r="S5" s="2618" t="s">
        <v>1254</v>
      </c>
      <c r="T5" s="2619"/>
      <c r="U5" s="2619"/>
      <c r="V5" s="2620"/>
      <c r="W5" s="2618" t="s">
        <v>1256</v>
      </c>
      <c r="X5" s="2619"/>
      <c r="Y5" s="2619"/>
      <c r="Z5" s="2620"/>
      <c r="AA5" s="1939"/>
      <c r="AB5" s="2618" t="s">
        <v>392</v>
      </c>
      <c r="AC5" s="2619"/>
      <c r="AD5" s="2619"/>
      <c r="AE5" s="2620"/>
      <c r="AF5" s="2618" t="s">
        <v>1259</v>
      </c>
      <c r="AG5" s="2619"/>
      <c r="AH5" s="2619"/>
      <c r="AI5" s="2620"/>
      <c r="AJ5" s="2618" t="s">
        <v>1262</v>
      </c>
      <c r="AK5" s="2619"/>
      <c r="AL5" s="2619"/>
      <c r="AM5" s="2620"/>
      <c r="AN5" s="1939"/>
      <c r="AO5" s="2618" t="s">
        <v>1264</v>
      </c>
      <c r="AP5" s="2619"/>
      <c r="AQ5" s="2619"/>
      <c r="AR5" s="2620"/>
      <c r="AS5" s="2618" t="s">
        <v>1363</v>
      </c>
      <c r="AT5" s="2619"/>
      <c r="AU5" s="2619"/>
      <c r="AV5" s="2620"/>
      <c r="AW5" s="1940"/>
      <c r="AX5" s="1940"/>
      <c r="AY5" s="1940"/>
    </row>
    <row r="6" spans="1:51" s="1827" customFormat="1" ht="54" customHeight="1" x14ac:dyDescent="0.6">
      <c r="A6" s="1941"/>
      <c r="B6" s="2637"/>
      <c r="C6" s="2638"/>
      <c r="D6" s="2638"/>
      <c r="E6" s="2639"/>
      <c r="F6" s="2640"/>
      <c r="G6" s="2641"/>
      <c r="H6" s="2641"/>
      <c r="I6" s="2642"/>
      <c r="J6" s="2637"/>
      <c r="K6" s="2638"/>
      <c r="L6" s="2638"/>
      <c r="M6" s="2639"/>
      <c r="N6" s="1941"/>
      <c r="O6" s="2637"/>
      <c r="P6" s="2638"/>
      <c r="Q6" s="2638"/>
      <c r="R6" s="2639"/>
      <c r="S6" s="2637"/>
      <c r="T6" s="2638"/>
      <c r="U6" s="2638"/>
      <c r="V6" s="2639"/>
      <c r="W6" s="2637"/>
      <c r="X6" s="2638"/>
      <c r="Y6" s="2638"/>
      <c r="Z6" s="2639"/>
      <c r="AA6" s="1942"/>
      <c r="AB6" s="2637"/>
      <c r="AC6" s="2638"/>
      <c r="AD6" s="2638"/>
      <c r="AE6" s="2639"/>
      <c r="AF6" s="2637"/>
      <c r="AG6" s="2638"/>
      <c r="AH6" s="2638"/>
      <c r="AI6" s="2639"/>
      <c r="AJ6" s="2637"/>
      <c r="AK6" s="2638"/>
      <c r="AL6" s="2638"/>
      <c r="AM6" s="2639"/>
      <c r="AN6" s="1942"/>
      <c r="AO6" s="2637"/>
      <c r="AP6" s="2638"/>
      <c r="AQ6" s="2638"/>
      <c r="AR6" s="2639"/>
      <c r="AS6" s="2637"/>
      <c r="AT6" s="2638"/>
      <c r="AU6" s="2638"/>
      <c r="AV6" s="2639"/>
      <c r="AW6" s="1943"/>
      <c r="AX6" s="1943"/>
      <c r="AY6" s="1943"/>
    </row>
    <row r="7" spans="1:51" s="1830" customFormat="1" ht="106.5" customHeight="1" thickBot="1" x14ac:dyDescent="0.65">
      <c r="A7" s="1828" t="s">
        <v>1088</v>
      </c>
      <c r="B7" s="2621"/>
      <c r="C7" s="2622"/>
      <c r="D7" s="2622"/>
      <c r="E7" s="2623"/>
      <c r="F7" s="2630"/>
      <c r="G7" s="2631"/>
      <c r="H7" s="2631"/>
      <c r="I7" s="2632"/>
      <c r="J7" s="2621"/>
      <c r="K7" s="2622"/>
      <c r="L7" s="2622"/>
      <c r="M7" s="2623"/>
      <c r="N7" s="1828" t="s">
        <v>1088</v>
      </c>
      <c r="O7" s="2621"/>
      <c r="P7" s="2622"/>
      <c r="Q7" s="2622"/>
      <c r="R7" s="2623"/>
      <c r="S7" s="2621"/>
      <c r="T7" s="2622"/>
      <c r="U7" s="2622"/>
      <c r="V7" s="2623"/>
      <c r="W7" s="2621"/>
      <c r="X7" s="2622"/>
      <c r="Y7" s="2622"/>
      <c r="Z7" s="2623"/>
      <c r="AA7" s="1828" t="s">
        <v>1088</v>
      </c>
      <c r="AB7" s="2621"/>
      <c r="AC7" s="2622"/>
      <c r="AD7" s="2622"/>
      <c r="AE7" s="2623"/>
      <c r="AF7" s="2621"/>
      <c r="AG7" s="2622"/>
      <c r="AH7" s="2622"/>
      <c r="AI7" s="2623"/>
      <c r="AJ7" s="2621"/>
      <c r="AK7" s="2622"/>
      <c r="AL7" s="2622"/>
      <c r="AM7" s="2623"/>
      <c r="AN7" s="1828" t="s">
        <v>1088</v>
      </c>
      <c r="AO7" s="2621"/>
      <c r="AP7" s="2622"/>
      <c r="AQ7" s="2622"/>
      <c r="AR7" s="2623"/>
      <c r="AS7" s="2621"/>
      <c r="AT7" s="2622"/>
      <c r="AU7" s="2622"/>
      <c r="AV7" s="2623"/>
      <c r="AW7" s="1943"/>
      <c r="AX7" s="1943"/>
      <c r="AY7" s="1943"/>
    </row>
    <row r="8" spans="1:51" s="1830" customFormat="1" ht="138" customHeight="1" thickBot="1" x14ac:dyDescent="0.65">
      <c r="A8" s="1944">
        <v>2016</v>
      </c>
      <c r="B8" s="1832" t="s">
        <v>1323</v>
      </c>
      <c r="C8" s="1832" t="s">
        <v>1364</v>
      </c>
      <c r="D8" s="1832" t="s">
        <v>206</v>
      </c>
      <c r="E8" s="1832" t="s">
        <v>1365</v>
      </c>
      <c r="F8" s="1832" t="s">
        <v>1323</v>
      </c>
      <c r="G8" s="1832" t="s">
        <v>1364</v>
      </c>
      <c r="H8" s="1832" t="s">
        <v>206</v>
      </c>
      <c r="I8" s="1832" t="s">
        <v>1365</v>
      </c>
      <c r="J8" s="1832" t="s">
        <v>1323</v>
      </c>
      <c r="K8" s="1832" t="s">
        <v>1364</v>
      </c>
      <c r="L8" s="1832" t="s">
        <v>206</v>
      </c>
      <c r="M8" s="1832" t="s">
        <v>1365</v>
      </c>
      <c r="N8" s="1944">
        <v>2016</v>
      </c>
      <c r="O8" s="1832" t="s">
        <v>1323</v>
      </c>
      <c r="P8" s="1832" t="s">
        <v>1364</v>
      </c>
      <c r="Q8" s="1832" t="s">
        <v>206</v>
      </c>
      <c r="R8" s="1832" t="s">
        <v>1365</v>
      </c>
      <c r="S8" s="1832" t="s">
        <v>1323</v>
      </c>
      <c r="T8" s="1832" t="s">
        <v>1364</v>
      </c>
      <c r="U8" s="1832" t="s">
        <v>206</v>
      </c>
      <c r="V8" s="1832" t="s">
        <v>1365</v>
      </c>
      <c r="W8" s="1832" t="s">
        <v>1323</v>
      </c>
      <c r="X8" s="1832" t="s">
        <v>1364</v>
      </c>
      <c r="Y8" s="1832" t="s">
        <v>206</v>
      </c>
      <c r="Z8" s="1832" t="s">
        <v>1365</v>
      </c>
      <c r="AA8" s="1944">
        <v>2016</v>
      </c>
      <c r="AB8" s="1832" t="s">
        <v>1323</v>
      </c>
      <c r="AC8" s="1832" t="s">
        <v>1364</v>
      </c>
      <c r="AD8" s="1832" t="s">
        <v>206</v>
      </c>
      <c r="AE8" s="1832" t="s">
        <v>1365</v>
      </c>
      <c r="AF8" s="1832" t="s">
        <v>1323</v>
      </c>
      <c r="AG8" s="1832" t="s">
        <v>1364</v>
      </c>
      <c r="AH8" s="1832" t="s">
        <v>206</v>
      </c>
      <c r="AI8" s="1832" t="s">
        <v>1365</v>
      </c>
      <c r="AJ8" s="1832" t="s">
        <v>1323</v>
      </c>
      <c r="AK8" s="1832" t="s">
        <v>1364</v>
      </c>
      <c r="AL8" s="1832" t="s">
        <v>206</v>
      </c>
      <c r="AM8" s="1832" t="s">
        <v>1365</v>
      </c>
      <c r="AN8" s="1944">
        <v>2016</v>
      </c>
      <c r="AO8" s="1832" t="s">
        <v>1323</v>
      </c>
      <c r="AP8" s="1832" t="s">
        <v>1364</v>
      </c>
      <c r="AQ8" s="1832" t="s">
        <v>206</v>
      </c>
      <c r="AR8" s="1832" t="s">
        <v>1365</v>
      </c>
      <c r="AS8" s="1832" t="s">
        <v>1323</v>
      </c>
      <c r="AT8" s="1832" t="s">
        <v>1364</v>
      </c>
      <c r="AU8" s="1832" t="s">
        <v>206</v>
      </c>
      <c r="AV8" s="1832" t="s">
        <v>1365</v>
      </c>
      <c r="AW8" s="1945" t="s">
        <v>1366</v>
      </c>
      <c r="AX8" s="1945" t="s">
        <v>1367</v>
      </c>
      <c r="AY8" s="1945" t="s">
        <v>206</v>
      </c>
    </row>
    <row r="9" spans="1:51" s="1896" customFormat="1" ht="45.75" customHeight="1" x14ac:dyDescent="0.5">
      <c r="A9" s="1894" t="s">
        <v>1091</v>
      </c>
      <c r="B9" s="1895"/>
      <c r="C9" s="1895"/>
      <c r="D9" s="1895"/>
      <c r="E9" s="1895"/>
      <c r="F9" s="1895"/>
      <c r="G9" s="1895"/>
      <c r="H9" s="1895"/>
      <c r="I9" s="1895"/>
      <c r="J9" s="1895"/>
      <c r="K9" s="1895"/>
      <c r="L9" s="1895"/>
      <c r="M9" s="1895"/>
      <c r="N9" s="1894" t="s">
        <v>1091</v>
      </c>
      <c r="O9" s="1895"/>
      <c r="P9" s="1895"/>
      <c r="Q9" s="1895"/>
      <c r="R9" s="1895"/>
      <c r="S9" s="1895"/>
      <c r="T9" s="1895"/>
      <c r="U9" s="1895"/>
      <c r="V9" s="1895"/>
      <c r="W9" s="1895"/>
      <c r="X9" s="1895"/>
      <c r="Y9" s="1895"/>
      <c r="Z9" s="1895"/>
      <c r="AA9" s="1894" t="s">
        <v>1091</v>
      </c>
      <c r="AB9" s="1894"/>
      <c r="AC9" s="1894"/>
      <c r="AD9" s="1894"/>
      <c r="AE9" s="1894"/>
      <c r="AF9" s="1894"/>
      <c r="AG9" s="1894"/>
      <c r="AH9" s="1894"/>
      <c r="AI9" s="1894"/>
      <c r="AJ9" s="1895"/>
      <c r="AK9" s="1895"/>
      <c r="AL9" s="1895"/>
      <c r="AM9" s="1895"/>
      <c r="AN9" s="1894" t="s">
        <v>1091</v>
      </c>
      <c r="AO9" s="1894"/>
      <c r="AP9" s="1894"/>
      <c r="AQ9" s="1894"/>
      <c r="AR9" s="1894"/>
      <c r="AS9" s="1894"/>
      <c r="AT9" s="1894"/>
      <c r="AU9" s="1894"/>
      <c r="AV9" s="1894"/>
      <c r="AW9" s="1894"/>
      <c r="AX9" s="1894"/>
      <c r="AY9" s="1894"/>
    </row>
    <row r="10" spans="1:51" s="1896" customFormat="1" ht="49.5" customHeight="1" x14ac:dyDescent="0.5">
      <c r="A10" s="1897" t="s">
        <v>1097</v>
      </c>
      <c r="B10" s="1898">
        <f>[4]int.kiadások2016!B9</f>
        <v>101414</v>
      </c>
      <c r="C10" s="1898">
        <f>'[5]int.kiadások RM V '!D10</f>
        <v>103805</v>
      </c>
      <c r="D10" s="1898">
        <v>99621</v>
      </c>
      <c r="E10" s="1899">
        <f t="shared" ref="E10:E30" si="0">D10/C10</f>
        <v>0.95969365637493376</v>
      </c>
      <c r="F10" s="1898">
        <f>[4]int.kiadások2016!C9</f>
        <v>29143</v>
      </c>
      <c r="G10" s="1898">
        <f>'[5]int.kiadások RM V '!G10</f>
        <v>29838</v>
      </c>
      <c r="H10" s="1898">
        <v>28848</v>
      </c>
      <c r="I10" s="1899">
        <f t="shared" ref="I10:I30" si="1">H10/G10</f>
        <v>0.96682083249547557</v>
      </c>
      <c r="J10" s="1898">
        <f>[4]int.kiadások2016!D9</f>
        <v>3870</v>
      </c>
      <c r="K10" s="1898">
        <f>'[5]int.kiadások RM V '!J10</f>
        <v>5624</v>
      </c>
      <c r="L10" s="1898">
        <v>4252</v>
      </c>
      <c r="M10" s="1899">
        <f t="shared" ref="M10:M30" si="2">L10/K10</f>
        <v>0.7560455192034139</v>
      </c>
      <c r="N10" s="1897" t="s">
        <v>1097</v>
      </c>
      <c r="O10" s="1898"/>
      <c r="P10" s="1898"/>
      <c r="Q10" s="1898"/>
      <c r="R10" s="1899"/>
      <c r="S10" s="1898"/>
      <c r="T10" s="1898"/>
      <c r="U10" s="1898"/>
      <c r="V10" s="1899"/>
      <c r="W10" s="1898">
        <f t="shared" ref="W10:Y27" si="3">B10+F10+J10+O10+S10</f>
        <v>134427</v>
      </c>
      <c r="X10" s="1898">
        <f t="shared" si="3"/>
        <v>139267</v>
      </c>
      <c r="Y10" s="1898">
        <f t="shared" si="3"/>
        <v>132721</v>
      </c>
      <c r="Z10" s="1899">
        <f t="shared" ref="Z10:Z30" si="4">Y10/X10</f>
        <v>0.95299676161617608</v>
      </c>
      <c r="AA10" s="1897" t="s">
        <v>1097</v>
      </c>
      <c r="AB10" s="1898"/>
      <c r="AC10" s="1898">
        <f>'[5]int.kiadások RM V '!X10</f>
        <v>4847</v>
      </c>
      <c r="AD10" s="1898">
        <v>3116</v>
      </c>
      <c r="AE10" s="1899">
        <f t="shared" ref="AE10:AE30" si="5">AD10/AC10</f>
        <v>0.64287187951310087</v>
      </c>
      <c r="AF10" s="1898"/>
      <c r="AG10" s="1898">
        <f>'[5]int.kiadások RM V '!AA10</f>
        <v>638</v>
      </c>
      <c r="AH10" s="1898"/>
      <c r="AI10" s="1899">
        <f>AH10/AG10</f>
        <v>0</v>
      </c>
      <c r="AJ10" s="1898"/>
      <c r="AK10" s="1898"/>
      <c r="AL10" s="1898"/>
      <c r="AM10" s="1899"/>
      <c r="AN10" s="1897" t="s">
        <v>1097</v>
      </c>
      <c r="AO10" s="1898">
        <f t="shared" ref="AO10:AQ27" si="6">AB10+AF10+AJ10</f>
        <v>0</v>
      </c>
      <c r="AP10" s="1898">
        <f t="shared" si="6"/>
        <v>5485</v>
      </c>
      <c r="AQ10" s="1898">
        <f t="shared" si="6"/>
        <v>3116</v>
      </c>
      <c r="AR10" s="1899">
        <f t="shared" ref="AR10:AR30" si="7">AQ10/AP10</f>
        <v>0.56809480401093893</v>
      </c>
      <c r="AS10" s="1898">
        <f t="shared" ref="AS10:AU27" si="8">W10+AO10</f>
        <v>134427</v>
      </c>
      <c r="AT10" s="1898">
        <f t="shared" si="8"/>
        <v>144752</v>
      </c>
      <c r="AU10" s="1898">
        <f t="shared" si="8"/>
        <v>135837</v>
      </c>
      <c r="AV10" s="1899">
        <f t="shared" ref="AV10:AV30" si="9">AU10/AT10</f>
        <v>0.93841190449872891</v>
      </c>
      <c r="AW10" s="1898">
        <f>AS10-'[6]éves besz.bevételei2016'!BM10</f>
        <v>0</v>
      </c>
      <c r="AX10" s="1898">
        <f>AT10-'[6]éves besz.bevételei2016'!BN10</f>
        <v>0</v>
      </c>
      <c r="AY10" s="1898">
        <f>AU10-'[6]éves besz.bevételei2016'!BO10</f>
        <v>-230</v>
      </c>
    </row>
    <row r="11" spans="1:51" s="1896" customFormat="1" ht="49.5" customHeight="1" x14ac:dyDescent="0.5">
      <c r="A11" s="1897" t="s">
        <v>1334</v>
      </c>
      <c r="B11" s="1898">
        <f>[4]int.kiadások2016!B10</f>
        <v>77006</v>
      </c>
      <c r="C11" s="1898">
        <f>'[5]int.kiadások RM V '!D11</f>
        <v>79944</v>
      </c>
      <c r="D11" s="1898">
        <v>74798</v>
      </c>
      <c r="E11" s="1899">
        <f t="shared" si="0"/>
        <v>0.93562994095867102</v>
      </c>
      <c r="F11" s="1898">
        <f>[4]int.kiadások2016!C10</f>
        <v>20965</v>
      </c>
      <c r="G11" s="1898">
        <f>'[5]int.kiadások RM V '!G11</f>
        <v>21754</v>
      </c>
      <c r="H11" s="1898">
        <v>20285</v>
      </c>
      <c r="I11" s="1899">
        <f t="shared" si="1"/>
        <v>0.93247218902270845</v>
      </c>
      <c r="J11" s="1898">
        <f>[4]int.kiadások2016!D10</f>
        <v>2852</v>
      </c>
      <c r="K11" s="1898">
        <f>'[5]int.kiadások RM V '!J11</f>
        <v>3459</v>
      </c>
      <c r="L11" s="1898">
        <v>3248</v>
      </c>
      <c r="M11" s="1899">
        <f t="shared" si="2"/>
        <v>0.93899971089910383</v>
      </c>
      <c r="N11" s="1897" t="s">
        <v>1334</v>
      </c>
      <c r="O11" s="1898"/>
      <c r="P11" s="1898"/>
      <c r="Q11" s="1898"/>
      <c r="R11" s="1899"/>
      <c r="S11" s="1898"/>
      <c r="T11" s="1898"/>
      <c r="U11" s="1898"/>
      <c r="V11" s="1899"/>
      <c r="W11" s="1898">
        <f t="shared" si="3"/>
        <v>100823</v>
      </c>
      <c r="X11" s="1898">
        <f t="shared" si="3"/>
        <v>105157</v>
      </c>
      <c r="Y11" s="1898">
        <f t="shared" si="3"/>
        <v>98331</v>
      </c>
      <c r="Z11" s="1899">
        <f t="shared" si="4"/>
        <v>0.93508753577983394</v>
      </c>
      <c r="AA11" s="1897" t="s">
        <v>1334</v>
      </c>
      <c r="AB11" s="1898"/>
      <c r="AC11" s="1898">
        <f>'[5]int.kiadások RM V '!X11</f>
        <v>1348</v>
      </c>
      <c r="AD11" s="1898">
        <v>1339</v>
      </c>
      <c r="AE11" s="1899">
        <f t="shared" si="5"/>
        <v>0.99332344213649848</v>
      </c>
      <c r="AF11" s="1898"/>
      <c r="AG11" s="1898">
        <f>'[5]int.kiadások RM V '!AA11</f>
        <v>231</v>
      </c>
      <c r="AH11" s="1898">
        <v>231</v>
      </c>
      <c r="AI11" s="1899">
        <f>AH11/AG11</f>
        <v>1</v>
      </c>
      <c r="AJ11" s="1898"/>
      <c r="AK11" s="1898"/>
      <c r="AL11" s="1898"/>
      <c r="AM11" s="1899"/>
      <c r="AN11" s="1897" t="s">
        <v>1334</v>
      </c>
      <c r="AO11" s="1898">
        <f t="shared" si="6"/>
        <v>0</v>
      </c>
      <c r="AP11" s="1898">
        <f t="shared" si="6"/>
        <v>1579</v>
      </c>
      <c r="AQ11" s="1898">
        <f t="shared" si="6"/>
        <v>1570</v>
      </c>
      <c r="AR11" s="1899">
        <f t="shared" si="7"/>
        <v>0.99430018999366687</v>
      </c>
      <c r="AS11" s="1898">
        <f t="shared" si="8"/>
        <v>100823</v>
      </c>
      <c r="AT11" s="1898">
        <f t="shared" si="8"/>
        <v>106736</v>
      </c>
      <c r="AU11" s="1898">
        <f t="shared" si="8"/>
        <v>99901</v>
      </c>
      <c r="AV11" s="1899">
        <f t="shared" si="9"/>
        <v>0.93596349872582818</v>
      </c>
      <c r="AW11" s="1898">
        <f>AS11-'[6]éves besz.bevételei2016'!BM11</f>
        <v>0</v>
      </c>
      <c r="AX11" s="1898">
        <f>AT11-'[6]éves besz.bevételei2016'!BN11</f>
        <v>0</v>
      </c>
      <c r="AY11" s="1898">
        <f>AU11-'[6]éves besz.bevételei2016'!BO11</f>
        <v>-743</v>
      </c>
    </row>
    <row r="12" spans="1:51" s="1896" customFormat="1" ht="49.5" customHeight="1" x14ac:dyDescent="0.5">
      <c r="A12" s="1897" t="s">
        <v>1335</v>
      </c>
      <c r="B12" s="1898">
        <f>[4]int.kiadások2016!B11</f>
        <v>67005</v>
      </c>
      <c r="C12" s="1898">
        <f>'[5]int.kiadások RM V '!D12</f>
        <v>68935</v>
      </c>
      <c r="D12" s="1898">
        <v>66950</v>
      </c>
      <c r="E12" s="1899">
        <f t="shared" si="0"/>
        <v>0.9712047581054617</v>
      </c>
      <c r="F12" s="1898">
        <f>[4]int.kiadások2016!C11</f>
        <v>18076</v>
      </c>
      <c r="G12" s="1898">
        <f>'[5]int.kiadások RM V '!G12</f>
        <v>18620</v>
      </c>
      <c r="H12" s="1898">
        <v>18043</v>
      </c>
      <c r="I12" s="1899">
        <f t="shared" si="1"/>
        <v>0.96901181525241675</v>
      </c>
      <c r="J12" s="1898">
        <f>[4]int.kiadások2016!D11</f>
        <v>3366</v>
      </c>
      <c r="K12" s="1898">
        <f>'[5]int.kiadások RM V '!J12</f>
        <v>5820</v>
      </c>
      <c r="L12" s="1898">
        <v>4800</v>
      </c>
      <c r="M12" s="1899">
        <f t="shared" si="2"/>
        <v>0.82474226804123707</v>
      </c>
      <c r="N12" s="1897" t="s">
        <v>1335</v>
      </c>
      <c r="O12" s="1898"/>
      <c r="P12" s="1898"/>
      <c r="Q12" s="1898"/>
      <c r="R12" s="1899"/>
      <c r="S12" s="1898"/>
      <c r="T12" s="1898"/>
      <c r="U12" s="1898"/>
      <c r="V12" s="1899"/>
      <c r="W12" s="1898">
        <f t="shared" si="3"/>
        <v>88447</v>
      </c>
      <c r="X12" s="1898">
        <f t="shared" si="3"/>
        <v>93375</v>
      </c>
      <c r="Y12" s="1898">
        <f t="shared" si="3"/>
        <v>89793</v>
      </c>
      <c r="Z12" s="1899">
        <f t="shared" si="4"/>
        <v>0.9616385542168675</v>
      </c>
      <c r="AA12" s="1897" t="s">
        <v>1335</v>
      </c>
      <c r="AB12" s="1898"/>
      <c r="AC12" s="1898">
        <f>'[5]int.kiadások RM V '!X12</f>
        <v>644</v>
      </c>
      <c r="AD12" s="1898">
        <v>636</v>
      </c>
      <c r="AE12" s="1899">
        <f t="shared" si="5"/>
        <v>0.98757763975155277</v>
      </c>
      <c r="AF12" s="1898"/>
      <c r="AG12" s="1898">
        <f>'[5]int.kiadások RM V '!AA12</f>
        <v>253</v>
      </c>
      <c r="AH12" s="1898">
        <v>253</v>
      </c>
      <c r="AI12" s="1899">
        <f>AH12/AG12</f>
        <v>1</v>
      </c>
      <c r="AJ12" s="1898"/>
      <c r="AK12" s="1898"/>
      <c r="AL12" s="1898"/>
      <c r="AM12" s="1899"/>
      <c r="AN12" s="1897" t="s">
        <v>1335</v>
      </c>
      <c r="AO12" s="1898">
        <f t="shared" si="6"/>
        <v>0</v>
      </c>
      <c r="AP12" s="1898">
        <f t="shared" si="6"/>
        <v>897</v>
      </c>
      <c r="AQ12" s="1898">
        <f t="shared" si="6"/>
        <v>889</v>
      </c>
      <c r="AR12" s="1899">
        <f t="shared" si="7"/>
        <v>0.99108138238573018</v>
      </c>
      <c r="AS12" s="1898">
        <f t="shared" si="8"/>
        <v>88447</v>
      </c>
      <c r="AT12" s="1898">
        <f t="shared" si="8"/>
        <v>94272</v>
      </c>
      <c r="AU12" s="1898">
        <f t="shared" si="8"/>
        <v>90682</v>
      </c>
      <c r="AV12" s="1899">
        <f t="shared" si="9"/>
        <v>0.9619187033265445</v>
      </c>
      <c r="AW12" s="1898">
        <f>AS12-'[6]éves besz.bevételei2016'!BM12</f>
        <v>0</v>
      </c>
      <c r="AX12" s="1898">
        <f>AT12-'[6]éves besz.bevételei2016'!BN12</f>
        <v>0</v>
      </c>
      <c r="AY12" s="1898">
        <f>AU12-'[6]éves besz.bevételei2016'!BO12</f>
        <v>-269</v>
      </c>
    </row>
    <row r="13" spans="1:51" s="1896" customFormat="1" ht="49.5" customHeight="1" x14ac:dyDescent="0.5">
      <c r="A13" s="1897" t="s">
        <v>1336</v>
      </c>
      <c r="B13" s="1898">
        <f>[4]int.kiadások2016!B12</f>
        <v>84937</v>
      </c>
      <c r="C13" s="1898">
        <f>'[5]int.kiadások RM V '!D13</f>
        <v>87581</v>
      </c>
      <c r="D13" s="1898">
        <v>86121</v>
      </c>
      <c r="E13" s="1899">
        <f t="shared" si="0"/>
        <v>0.98332971763281996</v>
      </c>
      <c r="F13" s="1898">
        <f>[4]int.kiadások2016!C12</f>
        <v>24457</v>
      </c>
      <c r="G13" s="1898">
        <f>'[5]int.kiadások RM V '!G13</f>
        <v>25202</v>
      </c>
      <c r="H13" s="1898">
        <v>24496</v>
      </c>
      <c r="I13" s="1899">
        <f t="shared" si="1"/>
        <v>0.97198635028965952</v>
      </c>
      <c r="J13" s="1898">
        <f>[4]int.kiadások2016!D12</f>
        <v>3266</v>
      </c>
      <c r="K13" s="1898">
        <f>'[5]int.kiadások RM V '!J13</f>
        <v>5535</v>
      </c>
      <c r="L13" s="1898">
        <v>4035</v>
      </c>
      <c r="M13" s="1899">
        <f t="shared" si="2"/>
        <v>0.7289972899728997</v>
      </c>
      <c r="N13" s="1897" t="s">
        <v>1336</v>
      </c>
      <c r="O13" s="1898"/>
      <c r="P13" s="1898"/>
      <c r="Q13" s="1898"/>
      <c r="R13" s="1899"/>
      <c r="S13" s="1898"/>
      <c r="T13" s="1898"/>
      <c r="U13" s="1898"/>
      <c r="V13" s="1899"/>
      <c r="W13" s="1898">
        <f t="shared" si="3"/>
        <v>112660</v>
      </c>
      <c r="X13" s="1898">
        <f t="shared" si="3"/>
        <v>118318</v>
      </c>
      <c r="Y13" s="1898">
        <f t="shared" si="3"/>
        <v>114652</v>
      </c>
      <c r="Z13" s="1899">
        <f t="shared" si="4"/>
        <v>0.96901570344326304</v>
      </c>
      <c r="AA13" s="1897" t="s">
        <v>1336</v>
      </c>
      <c r="AB13" s="1898"/>
      <c r="AC13" s="1898">
        <f>'[5]int.kiadások RM V '!X13</f>
        <v>1693</v>
      </c>
      <c r="AD13" s="1898">
        <v>1691</v>
      </c>
      <c r="AE13" s="1899">
        <f t="shared" si="5"/>
        <v>0.99881866509155348</v>
      </c>
      <c r="AF13" s="1898"/>
      <c r="AG13" s="1898"/>
      <c r="AH13" s="1898"/>
      <c r="AI13" s="1899"/>
      <c r="AJ13" s="1898"/>
      <c r="AK13" s="1898"/>
      <c r="AL13" s="1898"/>
      <c r="AM13" s="1899"/>
      <c r="AN13" s="1897" t="s">
        <v>1336</v>
      </c>
      <c r="AO13" s="1898">
        <f t="shared" si="6"/>
        <v>0</v>
      </c>
      <c r="AP13" s="1898">
        <f t="shared" si="6"/>
        <v>1693</v>
      </c>
      <c r="AQ13" s="1898">
        <f t="shared" si="6"/>
        <v>1691</v>
      </c>
      <c r="AR13" s="1899">
        <f t="shared" si="7"/>
        <v>0.99881866509155348</v>
      </c>
      <c r="AS13" s="1898">
        <f t="shared" si="8"/>
        <v>112660</v>
      </c>
      <c r="AT13" s="1898">
        <f t="shared" si="8"/>
        <v>120011</v>
      </c>
      <c r="AU13" s="1898">
        <f t="shared" si="8"/>
        <v>116343</v>
      </c>
      <c r="AV13" s="1899">
        <f t="shared" si="9"/>
        <v>0.96943613502095638</v>
      </c>
      <c r="AW13" s="1898">
        <f>AS13-'[6]éves besz.bevételei2016'!BM13</f>
        <v>0</v>
      </c>
      <c r="AX13" s="1898">
        <f>AT13-'[6]éves besz.bevételei2016'!BN13</f>
        <v>0</v>
      </c>
      <c r="AY13" s="1898">
        <f>AU13-'[6]éves besz.bevételei2016'!BO13</f>
        <v>-397</v>
      </c>
    </row>
    <row r="14" spans="1:51" s="1896" customFormat="1" ht="49.5" customHeight="1" x14ac:dyDescent="0.5">
      <c r="A14" s="1897" t="s">
        <v>1337</v>
      </c>
      <c r="B14" s="1898">
        <f>[4]int.kiadások2016!B13</f>
        <v>79326</v>
      </c>
      <c r="C14" s="1898">
        <f>'[5]int.kiadások RM V '!D14</f>
        <v>82219</v>
      </c>
      <c r="D14" s="1898">
        <v>76927</v>
      </c>
      <c r="E14" s="1899">
        <f t="shared" si="0"/>
        <v>0.93563531543803746</v>
      </c>
      <c r="F14" s="1898">
        <f>[4]int.kiadások2016!C13</f>
        <v>22800</v>
      </c>
      <c r="G14" s="1898">
        <f>'[5]int.kiadások RM V '!G14</f>
        <v>23622</v>
      </c>
      <c r="H14" s="1898">
        <v>22166</v>
      </c>
      <c r="I14" s="1899">
        <f t="shared" si="1"/>
        <v>0.9383625433917534</v>
      </c>
      <c r="J14" s="1898">
        <f>[4]int.kiadások2016!D13</f>
        <v>3167</v>
      </c>
      <c r="K14" s="1898">
        <f>'[5]int.kiadások RM V '!J14</f>
        <v>5207</v>
      </c>
      <c r="L14" s="1898">
        <v>4921</v>
      </c>
      <c r="M14" s="1899">
        <f t="shared" si="2"/>
        <v>0.94507393892836566</v>
      </c>
      <c r="N14" s="1897" t="s">
        <v>1337</v>
      </c>
      <c r="O14" s="1898"/>
      <c r="P14" s="1898"/>
      <c r="Q14" s="1898"/>
      <c r="R14" s="1899"/>
      <c r="S14" s="1898"/>
      <c r="T14" s="1898"/>
      <c r="U14" s="1898"/>
      <c r="V14" s="1899"/>
      <c r="W14" s="1898">
        <f t="shared" si="3"/>
        <v>105293</v>
      </c>
      <c r="X14" s="1898">
        <f t="shared" si="3"/>
        <v>111048</v>
      </c>
      <c r="Y14" s="1898">
        <f t="shared" si="3"/>
        <v>104014</v>
      </c>
      <c r="Z14" s="1899">
        <f t="shared" si="4"/>
        <v>0.93665802175635759</v>
      </c>
      <c r="AA14" s="1897" t="s">
        <v>1337</v>
      </c>
      <c r="AB14" s="1898"/>
      <c r="AC14" s="1898">
        <f>'[5]int.kiadások RM V '!X14</f>
        <v>605</v>
      </c>
      <c r="AD14" s="1898">
        <v>596</v>
      </c>
      <c r="AE14" s="1899">
        <f t="shared" si="5"/>
        <v>0.98512396694214877</v>
      </c>
      <c r="AF14" s="1898"/>
      <c r="AG14" s="1898">
        <f>'[5]int.kiadások RM V '!AA14</f>
        <v>6778</v>
      </c>
      <c r="AH14" s="1898">
        <v>6778</v>
      </c>
      <c r="AI14" s="1899">
        <f>AH14/AG14</f>
        <v>1</v>
      </c>
      <c r="AJ14" s="1898"/>
      <c r="AK14" s="1898"/>
      <c r="AL14" s="1898"/>
      <c r="AM14" s="1899"/>
      <c r="AN14" s="1897" t="s">
        <v>1337</v>
      </c>
      <c r="AO14" s="1898">
        <f t="shared" si="6"/>
        <v>0</v>
      </c>
      <c r="AP14" s="1898">
        <f t="shared" si="6"/>
        <v>7383</v>
      </c>
      <c r="AQ14" s="1898">
        <f t="shared" si="6"/>
        <v>7374</v>
      </c>
      <c r="AR14" s="1899">
        <f t="shared" si="7"/>
        <v>0.99878098334010568</v>
      </c>
      <c r="AS14" s="1898">
        <f t="shared" si="8"/>
        <v>105293</v>
      </c>
      <c r="AT14" s="1898">
        <f t="shared" si="8"/>
        <v>118431</v>
      </c>
      <c r="AU14" s="1898">
        <f t="shared" si="8"/>
        <v>111388</v>
      </c>
      <c r="AV14" s="1899">
        <f t="shared" si="9"/>
        <v>0.94053077319282963</v>
      </c>
      <c r="AW14" s="1898">
        <f>AS14-'[6]éves besz.bevételei2016'!BM14</f>
        <v>0</v>
      </c>
      <c r="AX14" s="1898">
        <f>AT14-'[6]éves besz.bevételei2016'!BN14</f>
        <v>0</v>
      </c>
      <c r="AY14" s="1898">
        <f>AU14-'[6]éves besz.bevételei2016'!BO14</f>
        <v>-1179</v>
      </c>
    </row>
    <row r="15" spans="1:51" s="1836" customFormat="1" ht="49.5" customHeight="1" x14ac:dyDescent="0.6">
      <c r="A15" s="1946" t="s">
        <v>1338</v>
      </c>
      <c r="B15" s="1947">
        <f>[4]int.kiadások2016!B14</f>
        <v>64121</v>
      </c>
      <c r="C15" s="1947">
        <f>'[5]int.kiadások RM V '!D15</f>
        <v>67189</v>
      </c>
      <c r="D15" s="1947">
        <v>64684</v>
      </c>
      <c r="E15" s="1948">
        <f t="shared" si="0"/>
        <v>0.96271711143193084</v>
      </c>
      <c r="F15" s="1947">
        <f>[4]int.kiadások2016!C14</f>
        <v>17454</v>
      </c>
      <c r="G15" s="1947">
        <f>'[5]int.kiadások RM V '!G15</f>
        <v>18312</v>
      </c>
      <c r="H15" s="1947">
        <v>17552</v>
      </c>
      <c r="I15" s="1948">
        <f t="shared" si="1"/>
        <v>0.9584971603320227</v>
      </c>
      <c r="J15" s="1947">
        <f>[4]int.kiadások2016!D14</f>
        <v>3004</v>
      </c>
      <c r="K15" s="1947">
        <f>'[5]int.kiadások RM V '!J15</f>
        <v>5719</v>
      </c>
      <c r="L15" s="1947">
        <v>2816</v>
      </c>
      <c r="M15" s="1948">
        <f t="shared" si="2"/>
        <v>0.49239377513551319</v>
      </c>
      <c r="N15" s="1946" t="s">
        <v>1338</v>
      </c>
      <c r="O15" s="1947"/>
      <c r="P15" s="1947"/>
      <c r="Q15" s="1947"/>
      <c r="R15" s="1948"/>
      <c r="S15" s="1947"/>
      <c r="T15" s="1947"/>
      <c r="U15" s="1947"/>
      <c r="V15" s="1948"/>
      <c r="W15" s="1947">
        <f t="shared" si="3"/>
        <v>84579</v>
      </c>
      <c r="X15" s="1947">
        <f t="shared" si="3"/>
        <v>91220</v>
      </c>
      <c r="Y15" s="1947">
        <f t="shared" si="3"/>
        <v>85052</v>
      </c>
      <c r="Z15" s="1948">
        <f t="shared" si="4"/>
        <v>0.93238324928743699</v>
      </c>
      <c r="AA15" s="1946" t="s">
        <v>1338</v>
      </c>
      <c r="AB15" s="1947"/>
      <c r="AC15" s="1947">
        <f>'[5]int.kiadások RM V '!X15</f>
        <v>1153</v>
      </c>
      <c r="AD15" s="1947">
        <v>1138</v>
      </c>
      <c r="AE15" s="1948">
        <f t="shared" si="5"/>
        <v>0.98699045967042498</v>
      </c>
      <c r="AF15" s="1947"/>
      <c r="AG15" s="1947">
        <f>'[5]int.kiadások RM V '!AA15</f>
        <v>178</v>
      </c>
      <c r="AH15" s="1947">
        <v>177</v>
      </c>
      <c r="AI15" s="1948">
        <f>AH15/AG15</f>
        <v>0.9943820224719101</v>
      </c>
      <c r="AJ15" s="1947"/>
      <c r="AK15" s="1947"/>
      <c r="AL15" s="1947"/>
      <c r="AM15" s="1948"/>
      <c r="AN15" s="1946" t="s">
        <v>1338</v>
      </c>
      <c r="AO15" s="1947">
        <f t="shared" si="6"/>
        <v>0</v>
      </c>
      <c r="AP15" s="1947">
        <f t="shared" si="6"/>
        <v>1331</v>
      </c>
      <c r="AQ15" s="1947">
        <f t="shared" si="6"/>
        <v>1315</v>
      </c>
      <c r="AR15" s="1948">
        <f t="shared" si="7"/>
        <v>0.98797896318557477</v>
      </c>
      <c r="AS15" s="1947">
        <f t="shared" si="8"/>
        <v>84579</v>
      </c>
      <c r="AT15" s="1947">
        <f t="shared" si="8"/>
        <v>92551</v>
      </c>
      <c r="AU15" s="1947">
        <f t="shared" si="8"/>
        <v>86367</v>
      </c>
      <c r="AV15" s="1948">
        <f t="shared" si="9"/>
        <v>0.9331827857073397</v>
      </c>
      <c r="AW15" s="1947">
        <f>AS15-'[6]éves besz.bevételei2016'!BM15</f>
        <v>0</v>
      </c>
      <c r="AX15" s="1947">
        <f>AT15-'[6]éves besz.bevételei2016'!BN15</f>
        <v>0</v>
      </c>
      <c r="AY15" s="1947">
        <f>AU15-'[6]éves besz.bevételei2016'!BO15</f>
        <v>-367</v>
      </c>
    </row>
    <row r="16" spans="1:51" s="1836" customFormat="1" ht="49.5" customHeight="1" x14ac:dyDescent="0.6">
      <c r="A16" s="1946" t="s">
        <v>1339</v>
      </c>
      <c r="B16" s="1947">
        <f>[4]int.kiadások2016!B15</f>
        <v>53704</v>
      </c>
      <c r="C16" s="1947">
        <f>'[5]int.kiadások RM V '!D16</f>
        <v>55132</v>
      </c>
      <c r="D16" s="1947">
        <f>54207+1</f>
        <v>54208</v>
      </c>
      <c r="E16" s="1948">
        <f t="shared" si="0"/>
        <v>0.98324022346368711</v>
      </c>
      <c r="F16" s="1947">
        <f>[4]int.kiadások2016!C15</f>
        <v>14635</v>
      </c>
      <c r="G16" s="1947">
        <f>'[5]int.kiadások RM V '!G16</f>
        <v>15086</v>
      </c>
      <c r="H16" s="1947">
        <v>14842</v>
      </c>
      <c r="I16" s="1948">
        <f t="shared" si="1"/>
        <v>0.98382606390030491</v>
      </c>
      <c r="J16" s="1947">
        <f>[4]int.kiadások2016!D15</f>
        <v>2408</v>
      </c>
      <c r="K16" s="1947">
        <f>'[5]int.kiadások RM V '!J16</f>
        <v>3309</v>
      </c>
      <c r="L16" s="1947">
        <v>3005</v>
      </c>
      <c r="M16" s="1948">
        <f t="shared" si="2"/>
        <v>0.90812934421275304</v>
      </c>
      <c r="N16" s="1946" t="s">
        <v>1339</v>
      </c>
      <c r="O16" s="1947"/>
      <c r="P16" s="1947"/>
      <c r="Q16" s="1947"/>
      <c r="R16" s="1948"/>
      <c r="S16" s="1947"/>
      <c r="T16" s="1947"/>
      <c r="U16" s="1947"/>
      <c r="V16" s="1948"/>
      <c r="W16" s="1947">
        <f t="shared" si="3"/>
        <v>70747</v>
      </c>
      <c r="X16" s="1947">
        <f t="shared" si="3"/>
        <v>73527</v>
      </c>
      <c r="Y16" s="1947">
        <f t="shared" si="3"/>
        <v>72055</v>
      </c>
      <c r="Z16" s="1948">
        <f t="shared" si="4"/>
        <v>0.97998014334870187</v>
      </c>
      <c r="AA16" s="1946" t="s">
        <v>1339</v>
      </c>
      <c r="AB16" s="1947"/>
      <c r="AC16" s="1947">
        <f>'[5]int.kiadások RM V '!X16</f>
        <v>837</v>
      </c>
      <c r="AD16" s="1947">
        <v>592</v>
      </c>
      <c r="AE16" s="1948">
        <f t="shared" si="5"/>
        <v>0.70728793309438476</v>
      </c>
      <c r="AF16" s="1947"/>
      <c r="AG16" s="1947">
        <f>'[5]int.kiadások RM V '!AA16</f>
        <v>800</v>
      </c>
      <c r="AH16" s="1947">
        <v>800</v>
      </c>
      <c r="AI16" s="1948">
        <f t="shared" ref="AI16:AI25" si="10">AH16/AG16</f>
        <v>1</v>
      </c>
      <c r="AJ16" s="1947"/>
      <c r="AK16" s="1947"/>
      <c r="AL16" s="1947"/>
      <c r="AM16" s="1948"/>
      <c r="AN16" s="1946" t="s">
        <v>1339</v>
      </c>
      <c r="AO16" s="1947">
        <f t="shared" si="6"/>
        <v>0</v>
      </c>
      <c r="AP16" s="1947">
        <f t="shared" si="6"/>
        <v>1637</v>
      </c>
      <c r="AQ16" s="1947">
        <f t="shared" si="6"/>
        <v>1392</v>
      </c>
      <c r="AR16" s="1948">
        <f t="shared" si="7"/>
        <v>0.85033598045204639</v>
      </c>
      <c r="AS16" s="1947">
        <f t="shared" si="8"/>
        <v>70747</v>
      </c>
      <c r="AT16" s="1947">
        <f t="shared" si="8"/>
        <v>75164</v>
      </c>
      <c r="AU16" s="1947">
        <f>Y16+AQ16</f>
        <v>73447</v>
      </c>
      <c r="AV16" s="1948">
        <f t="shared" si="9"/>
        <v>0.97715661752966843</v>
      </c>
      <c r="AW16" s="1947">
        <f>AS16-'[6]éves besz.bevételei2016'!BM16</f>
        <v>0</v>
      </c>
      <c r="AX16" s="1947">
        <f>AT16-'[6]éves besz.bevételei2016'!BN16</f>
        <v>0</v>
      </c>
      <c r="AY16" s="1947">
        <f>AU16-'[6]éves besz.bevételei2016'!BO16</f>
        <v>-133</v>
      </c>
    </row>
    <row r="17" spans="1:51" s="1836" customFormat="1" ht="49.5" customHeight="1" x14ac:dyDescent="0.6">
      <c r="A17" s="1946" t="s">
        <v>1340</v>
      </c>
      <c r="B17" s="1947">
        <f>[4]int.kiadások2016!B16</f>
        <v>55957</v>
      </c>
      <c r="C17" s="1947">
        <f>'[5]int.kiadások RM V '!D17</f>
        <v>57163</v>
      </c>
      <c r="D17" s="1947">
        <v>56221</v>
      </c>
      <c r="E17" s="1948">
        <f t="shared" si="0"/>
        <v>0.98352080891485749</v>
      </c>
      <c r="F17" s="1947">
        <f>[4]int.kiadások2016!C16</f>
        <v>15147</v>
      </c>
      <c r="G17" s="1947">
        <f>'[5]int.kiadások RM V '!G17</f>
        <v>15501</v>
      </c>
      <c r="H17" s="1947">
        <v>15202</v>
      </c>
      <c r="I17" s="1948">
        <f t="shared" si="1"/>
        <v>0.98071092187600795</v>
      </c>
      <c r="J17" s="1947">
        <f>[4]int.kiadások2016!D16</f>
        <v>2576</v>
      </c>
      <c r="K17" s="1947">
        <f>'[5]int.kiadások RM V '!J17</f>
        <v>5515</v>
      </c>
      <c r="L17" s="1947">
        <v>5128</v>
      </c>
      <c r="M17" s="1948">
        <f t="shared" si="2"/>
        <v>0.9298277425203989</v>
      </c>
      <c r="N17" s="1946" t="s">
        <v>1340</v>
      </c>
      <c r="O17" s="1947"/>
      <c r="P17" s="1947"/>
      <c r="Q17" s="1947"/>
      <c r="R17" s="1948"/>
      <c r="S17" s="1947"/>
      <c r="T17" s="1947"/>
      <c r="U17" s="1947"/>
      <c r="V17" s="1948"/>
      <c r="W17" s="1947">
        <f t="shared" si="3"/>
        <v>73680</v>
      </c>
      <c r="X17" s="1947">
        <f t="shared" si="3"/>
        <v>78179</v>
      </c>
      <c r="Y17" s="1947">
        <f t="shared" si="3"/>
        <v>76551</v>
      </c>
      <c r="Z17" s="1948">
        <f t="shared" si="4"/>
        <v>0.97917599355325602</v>
      </c>
      <c r="AA17" s="1946" t="s">
        <v>1340</v>
      </c>
      <c r="AB17" s="1947"/>
      <c r="AC17" s="1947">
        <f>'[5]int.kiadások RM V '!X17</f>
        <v>2149</v>
      </c>
      <c r="AD17" s="1947">
        <v>2149</v>
      </c>
      <c r="AE17" s="1948">
        <f t="shared" si="5"/>
        <v>1</v>
      </c>
      <c r="AF17" s="1947"/>
      <c r="AG17" s="1947">
        <f>'[5]int.kiadások RM V '!AA17</f>
        <v>1680</v>
      </c>
      <c r="AH17" s="1947">
        <v>156</v>
      </c>
      <c r="AI17" s="1948">
        <f t="shared" si="10"/>
        <v>9.285714285714286E-2</v>
      </c>
      <c r="AJ17" s="1947"/>
      <c r="AK17" s="1947"/>
      <c r="AL17" s="1947"/>
      <c r="AM17" s="1948"/>
      <c r="AN17" s="1946" t="s">
        <v>1340</v>
      </c>
      <c r="AO17" s="1947">
        <f t="shared" si="6"/>
        <v>0</v>
      </c>
      <c r="AP17" s="1947">
        <f t="shared" si="6"/>
        <v>3829</v>
      </c>
      <c r="AQ17" s="1947">
        <f t="shared" si="6"/>
        <v>2305</v>
      </c>
      <c r="AR17" s="1948">
        <f t="shared" si="7"/>
        <v>0.60198485244189082</v>
      </c>
      <c r="AS17" s="1947">
        <f t="shared" si="8"/>
        <v>73680</v>
      </c>
      <c r="AT17" s="1947">
        <f t="shared" si="8"/>
        <v>82008</v>
      </c>
      <c r="AU17" s="1947">
        <f t="shared" si="8"/>
        <v>78856</v>
      </c>
      <c r="AV17" s="1948">
        <f t="shared" si="9"/>
        <v>0.96156472539264459</v>
      </c>
      <c r="AW17" s="1947">
        <f>AS17-'[6]éves besz.bevételei2016'!BM17</f>
        <v>0</v>
      </c>
      <c r="AX17" s="1947">
        <f>AT17-'[6]éves besz.bevételei2016'!BN17</f>
        <v>0</v>
      </c>
      <c r="AY17" s="1947">
        <f>AU17-'[6]éves besz.bevételei2016'!BO17</f>
        <v>-148</v>
      </c>
    </row>
    <row r="18" spans="1:51" s="1836" customFormat="1" ht="49.5" customHeight="1" x14ac:dyDescent="0.6">
      <c r="A18" s="1946" t="s">
        <v>1341</v>
      </c>
      <c r="B18" s="1947">
        <f>[4]int.kiadások2016!B17</f>
        <v>78202</v>
      </c>
      <c r="C18" s="1947">
        <f>'[5]int.kiadások RM V '!D18</f>
        <v>81320</v>
      </c>
      <c r="D18" s="1947">
        <v>78340</v>
      </c>
      <c r="E18" s="1948">
        <f t="shared" si="0"/>
        <v>0.96335464830300044</v>
      </c>
      <c r="F18" s="1947">
        <f>[4]int.kiadások2016!C17</f>
        <v>22420</v>
      </c>
      <c r="G18" s="1947">
        <f>'[5]int.kiadások RM V '!G18</f>
        <v>23270</v>
      </c>
      <c r="H18" s="1947">
        <v>22536</v>
      </c>
      <c r="I18" s="1948">
        <f t="shared" si="1"/>
        <v>0.9684572410829394</v>
      </c>
      <c r="J18" s="1947">
        <f>[4]int.kiadások2016!D17</f>
        <v>3136</v>
      </c>
      <c r="K18" s="1947">
        <f>'[5]int.kiadások RM V '!J18</f>
        <v>5786</v>
      </c>
      <c r="L18" s="1947">
        <v>5177</v>
      </c>
      <c r="M18" s="1948">
        <f t="shared" si="2"/>
        <v>0.89474593847217421</v>
      </c>
      <c r="N18" s="1946" t="s">
        <v>1341</v>
      </c>
      <c r="O18" s="1947"/>
      <c r="P18" s="1947"/>
      <c r="Q18" s="1947"/>
      <c r="R18" s="1948"/>
      <c r="S18" s="1947"/>
      <c r="T18" s="1947"/>
      <c r="U18" s="1947"/>
      <c r="V18" s="1948"/>
      <c r="W18" s="1947">
        <f t="shared" si="3"/>
        <v>103758</v>
      </c>
      <c r="X18" s="1947">
        <f t="shared" si="3"/>
        <v>110376</v>
      </c>
      <c r="Y18" s="1947">
        <f t="shared" si="3"/>
        <v>106053</v>
      </c>
      <c r="Z18" s="1948">
        <f t="shared" si="4"/>
        <v>0.96083387692976729</v>
      </c>
      <c r="AA18" s="1946" t="s">
        <v>1341</v>
      </c>
      <c r="AB18" s="1947"/>
      <c r="AC18" s="1947">
        <f>'[5]int.kiadások RM V '!X18</f>
        <v>546</v>
      </c>
      <c r="AD18" s="1947">
        <v>521</v>
      </c>
      <c r="AE18" s="1948">
        <f t="shared" si="5"/>
        <v>0.95421245421245426</v>
      </c>
      <c r="AF18" s="1947"/>
      <c r="AG18" s="1947">
        <f>'[5]int.kiadások RM V '!AA18</f>
        <v>217</v>
      </c>
      <c r="AH18" s="1947">
        <v>217</v>
      </c>
      <c r="AI18" s="1948">
        <f t="shared" si="10"/>
        <v>1</v>
      </c>
      <c r="AJ18" s="1947"/>
      <c r="AK18" s="1947"/>
      <c r="AL18" s="1947"/>
      <c r="AM18" s="1948"/>
      <c r="AN18" s="1946" t="s">
        <v>1341</v>
      </c>
      <c r="AO18" s="1947">
        <f t="shared" si="6"/>
        <v>0</v>
      </c>
      <c r="AP18" s="1947">
        <f t="shared" si="6"/>
        <v>763</v>
      </c>
      <c r="AQ18" s="1947">
        <f t="shared" si="6"/>
        <v>738</v>
      </c>
      <c r="AR18" s="1948">
        <f t="shared" si="7"/>
        <v>0.96723460026212316</v>
      </c>
      <c r="AS18" s="1947">
        <f t="shared" si="8"/>
        <v>103758</v>
      </c>
      <c r="AT18" s="1947">
        <f t="shared" si="8"/>
        <v>111139</v>
      </c>
      <c r="AU18" s="1947">
        <f t="shared" si="8"/>
        <v>106791</v>
      </c>
      <c r="AV18" s="1948">
        <f t="shared" si="9"/>
        <v>0.96087781966726349</v>
      </c>
      <c r="AW18" s="1947">
        <f>AS18-'[6]éves besz.bevételei2016'!BM18</f>
        <v>0</v>
      </c>
      <c r="AX18" s="1947">
        <f>AT18-'[6]éves besz.bevételei2016'!BN18</f>
        <v>0</v>
      </c>
      <c r="AY18" s="1947">
        <f>AU18-'[6]éves besz.bevételei2016'!BO18</f>
        <v>-320</v>
      </c>
    </row>
    <row r="19" spans="1:51" s="1836" customFormat="1" ht="49.5" customHeight="1" x14ac:dyDescent="0.6">
      <c r="A19" s="1946" t="s">
        <v>1342</v>
      </c>
      <c r="B19" s="1947">
        <f>[4]int.kiadások2016!B18</f>
        <v>91116</v>
      </c>
      <c r="C19" s="1947">
        <f>'[5]int.kiadások RM V '!D19</f>
        <v>92974</v>
      </c>
      <c r="D19" s="1947">
        <v>90984</v>
      </c>
      <c r="E19" s="1948">
        <f t="shared" si="0"/>
        <v>0.97859616667025184</v>
      </c>
      <c r="F19" s="1947">
        <f>[4]int.kiadások2016!C18</f>
        <v>26045</v>
      </c>
      <c r="G19" s="1947">
        <f>'[5]int.kiadások RM V '!G19</f>
        <v>26817</v>
      </c>
      <c r="H19" s="1947">
        <v>26270</v>
      </c>
      <c r="I19" s="1948">
        <f t="shared" si="1"/>
        <v>0.97960249095722862</v>
      </c>
      <c r="J19" s="1947">
        <f>[4]int.kiadások2016!D18</f>
        <v>3598</v>
      </c>
      <c r="K19" s="1947">
        <f>'[5]int.kiadások RM V '!J19</f>
        <v>5948</v>
      </c>
      <c r="L19" s="1947">
        <v>5083</v>
      </c>
      <c r="M19" s="1948">
        <f t="shared" si="2"/>
        <v>0.8545729657027572</v>
      </c>
      <c r="N19" s="1946" t="s">
        <v>1342</v>
      </c>
      <c r="O19" s="1947"/>
      <c r="P19" s="1947"/>
      <c r="Q19" s="1947"/>
      <c r="R19" s="1948"/>
      <c r="S19" s="1947"/>
      <c r="T19" s="1947"/>
      <c r="U19" s="1947"/>
      <c r="V19" s="1948"/>
      <c r="W19" s="1947">
        <f t="shared" si="3"/>
        <v>120759</v>
      </c>
      <c r="X19" s="1947">
        <f t="shared" si="3"/>
        <v>125739</v>
      </c>
      <c r="Y19" s="1947">
        <f t="shared" si="3"/>
        <v>122337</v>
      </c>
      <c r="Z19" s="1948">
        <f t="shared" si="4"/>
        <v>0.97294395533605327</v>
      </c>
      <c r="AA19" s="1946" t="s">
        <v>1342</v>
      </c>
      <c r="AB19" s="1947"/>
      <c r="AC19" s="1947">
        <f>'[5]int.kiadások RM V '!X19</f>
        <v>1654</v>
      </c>
      <c r="AD19" s="1947">
        <v>1054</v>
      </c>
      <c r="AE19" s="1948">
        <f t="shared" si="5"/>
        <v>0.63724304715840385</v>
      </c>
      <c r="AF19" s="1947"/>
      <c r="AG19" s="1947">
        <f>'[5]int.kiadások RM V '!AA19</f>
        <v>7625</v>
      </c>
      <c r="AH19" s="1947">
        <v>7366</v>
      </c>
      <c r="AI19" s="1948">
        <f t="shared" si="10"/>
        <v>0.96603278688524585</v>
      </c>
      <c r="AJ19" s="1947"/>
      <c r="AK19" s="1947"/>
      <c r="AL19" s="1947"/>
      <c r="AM19" s="1948"/>
      <c r="AN19" s="1946" t="s">
        <v>1342</v>
      </c>
      <c r="AO19" s="1947">
        <f t="shared" si="6"/>
        <v>0</v>
      </c>
      <c r="AP19" s="1947">
        <f t="shared" si="6"/>
        <v>9279</v>
      </c>
      <c r="AQ19" s="1947">
        <f t="shared" si="6"/>
        <v>8420</v>
      </c>
      <c r="AR19" s="1948">
        <f t="shared" si="7"/>
        <v>0.90742536911305094</v>
      </c>
      <c r="AS19" s="1947">
        <f t="shared" si="8"/>
        <v>120759</v>
      </c>
      <c r="AT19" s="1947">
        <f t="shared" si="8"/>
        <v>135018</v>
      </c>
      <c r="AU19" s="1947">
        <f t="shared" si="8"/>
        <v>130757</v>
      </c>
      <c r="AV19" s="1948">
        <f t="shared" si="9"/>
        <v>0.96844124487105421</v>
      </c>
      <c r="AW19" s="1947">
        <f>AS19-'[6]éves besz.bevételei2016'!BM19</f>
        <v>0</v>
      </c>
      <c r="AX19" s="1947">
        <f>AT19-'[6]éves besz.bevételei2016'!BN19</f>
        <v>0</v>
      </c>
      <c r="AY19" s="1947">
        <f>AU19-'[6]éves besz.bevételei2016'!BO19</f>
        <v>-335</v>
      </c>
    </row>
    <row r="20" spans="1:51" s="1836" customFormat="1" ht="49.5" customHeight="1" x14ac:dyDescent="0.6">
      <c r="A20" s="1946" t="s">
        <v>1343</v>
      </c>
      <c r="B20" s="1947">
        <f>[4]int.kiadások2016!B19</f>
        <v>48060</v>
      </c>
      <c r="C20" s="1947">
        <f>'[5]int.kiadások RM V '!D20</f>
        <v>49736</v>
      </c>
      <c r="D20" s="1947">
        <v>48285</v>
      </c>
      <c r="E20" s="1948">
        <f t="shared" si="0"/>
        <v>0.97082596107447316</v>
      </c>
      <c r="F20" s="1947">
        <f>[4]int.kiadások2016!C19</f>
        <v>13072</v>
      </c>
      <c r="G20" s="1947">
        <f>'[5]int.kiadások RM V '!G20</f>
        <v>13550</v>
      </c>
      <c r="H20" s="1947">
        <v>13034</v>
      </c>
      <c r="I20" s="1948">
        <f t="shared" si="1"/>
        <v>0.96191881918819189</v>
      </c>
      <c r="J20" s="1947">
        <f>[4]int.kiadások2016!D19</f>
        <v>2253</v>
      </c>
      <c r="K20" s="1947">
        <f>'[5]int.kiadások RM V '!J20</f>
        <v>4462</v>
      </c>
      <c r="L20" s="1947">
        <v>4108</v>
      </c>
      <c r="M20" s="1948">
        <f t="shared" si="2"/>
        <v>0.92066337965038103</v>
      </c>
      <c r="N20" s="1946" t="s">
        <v>1343</v>
      </c>
      <c r="O20" s="1947"/>
      <c r="P20" s="1947"/>
      <c r="Q20" s="1947"/>
      <c r="R20" s="1948"/>
      <c r="S20" s="1947"/>
      <c r="T20" s="1947"/>
      <c r="U20" s="1947"/>
      <c r="V20" s="1948"/>
      <c r="W20" s="1947">
        <f t="shared" si="3"/>
        <v>63385</v>
      </c>
      <c r="X20" s="1947">
        <f t="shared" si="3"/>
        <v>67748</v>
      </c>
      <c r="Y20" s="1947">
        <f t="shared" si="3"/>
        <v>65427</v>
      </c>
      <c r="Z20" s="1948">
        <f t="shared" si="4"/>
        <v>0.96574068607191355</v>
      </c>
      <c r="AA20" s="1946" t="s">
        <v>1343</v>
      </c>
      <c r="AB20" s="1947"/>
      <c r="AC20" s="1947">
        <f>'[5]int.kiadások RM V '!X20</f>
        <v>758</v>
      </c>
      <c r="AD20" s="1947">
        <v>758</v>
      </c>
      <c r="AE20" s="1948">
        <f t="shared" si="5"/>
        <v>1</v>
      </c>
      <c r="AF20" s="1947"/>
      <c r="AG20" s="1947">
        <f>'[5]int.kiadások RM V '!AA20</f>
        <v>118</v>
      </c>
      <c r="AH20" s="1947">
        <v>117</v>
      </c>
      <c r="AI20" s="1948">
        <f t="shared" si="10"/>
        <v>0.99152542372881358</v>
      </c>
      <c r="AJ20" s="1947"/>
      <c r="AK20" s="1947"/>
      <c r="AL20" s="1947"/>
      <c r="AM20" s="1948"/>
      <c r="AN20" s="1946" t="s">
        <v>1343</v>
      </c>
      <c r="AO20" s="1947">
        <f t="shared" si="6"/>
        <v>0</v>
      </c>
      <c r="AP20" s="1947">
        <f t="shared" si="6"/>
        <v>876</v>
      </c>
      <c r="AQ20" s="1947">
        <f t="shared" si="6"/>
        <v>875</v>
      </c>
      <c r="AR20" s="1948">
        <f t="shared" si="7"/>
        <v>0.99885844748858443</v>
      </c>
      <c r="AS20" s="1947">
        <f t="shared" si="8"/>
        <v>63385</v>
      </c>
      <c r="AT20" s="1947">
        <f t="shared" si="8"/>
        <v>68624</v>
      </c>
      <c r="AU20" s="1947">
        <f t="shared" si="8"/>
        <v>66302</v>
      </c>
      <c r="AV20" s="1948">
        <f t="shared" si="9"/>
        <v>0.9661634413616228</v>
      </c>
      <c r="AW20" s="1947">
        <f>AS20-'[6]éves besz.bevételei2016'!BM20</f>
        <v>0</v>
      </c>
      <c r="AX20" s="1947">
        <f>AT20-'[6]éves besz.bevételei2016'!BN20</f>
        <v>0</v>
      </c>
      <c r="AY20" s="1947">
        <f>AU20-'[6]éves besz.bevételei2016'!BO20</f>
        <v>-160</v>
      </c>
    </row>
    <row r="21" spans="1:51" s="1836" customFormat="1" ht="49.5" customHeight="1" x14ac:dyDescent="0.6">
      <c r="A21" s="1946" t="s">
        <v>1110</v>
      </c>
      <c r="B21" s="1947">
        <f>[4]int.kiadások2016!B20</f>
        <v>37612</v>
      </c>
      <c r="C21" s="1947">
        <f>'[5]int.kiadások RM V '!D21</f>
        <v>40948</v>
      </c>
      <c r="D21" s="1947">
        <v>38910</v>
      </c>
      <c r="E21" s="1948">
        <f t="shared" si="0"/>
        <v>0.95022955944124254</v>
      </c>
      <c r="F21" s="1947">
        <f>[4]int.kiadások2016!C20</f>
        <v>10262</v>
      </c>
      <c r="G21" s="1947">
        <f>'[5]int.kiadások RM V '!G21</f>
        <v>11183</v>
      </c>
      <c r="H21" s="1947">
        <v>10579</v>
      </c>
      <c r="I21" s="1948">
        <f t="shared" si="1"/>
        <v>0.94598944826969511</v>
      </c>
      <c r="J21" s="1947">
        <f>[4]int.kiadások2016!D20</f>
        <v>2173</v>
      </c>
      <c r="K21" s="1947">
        <f>'[5]int.kiadások RM V '!J21</f>
        <v>3030</v>
      </c>
      <c r="L21" s="1947">
        <v>2168</v>
      </c>
      <c r="M21" s="1948">
        <f t="shared" si="2"/>
        <v>0.71551155115511555</v>
      </c>
      <c r="N21" s="1946" t="s">
        <v>1110</v>
      </c>
      <c r="O21" s="1947"/>
      <c r="P21" s="1947"/>
      <c r="Q21" s="1947"/>
      <c r="R21" s="1948"/>
      <c r="S21" s="1947"/>
      <c r="T21" s="1947"/>
      <c r="U21" s="1947"/>
      <c r="V21" s="1948"/>
      <c r="W21" s="1947">
        <f t="shared" si="3"/>
        <v>50047</v>
      </c>
      <c r="X21" s="1947">
        <f t="shared" si="3"/>
        <v>55161</v>
      </c>
      <c r="Y21" s="1947">
        <f t="shared" si="3"/>
        <v>51657</v>
      </c>
      <c r="Z21" s="1948">
        <f t="shared" si="4"/>
        <v>0.93647685865013319</v>
      </c>
      <c r="AA21" s="1946" t="s">
        <v>1110</v>
      </c>
      <c r="AB21" s="1947"/>
      <c r="AC21" s="1947">
        <f>'[5]int.kiadások RM V '!X21</f>
        <v>1070</v>
      </c>
      <c r="AD21" s="1947">
        <v>618</v>
      </c>
      <c r="AE21" s="1948">
        <f t="shared" si="5"/>
        <v>0.57757009345794397</v>
      </c>
      <c r="AF21" s="1947"/>
      <c r="AG21" s="1947">
        <f>'[5]int.kiadások RM V '!AA21</f>
        <v>12288</v>
      </c>
      <c r="AH21" s="1947">
        <v>10285</v>
      </c>
      <c r="AI21" s="1948">
        <f t="shared" si="10"/>
        <v>0.83699544270833337</v>
      </c>
      <c r="AJ21" s="1947"/>
      <c r="AK21" s="1947"/>
      <c r="AL21" s="1947"/>
      <c r="AM21" s="1948"/>
      <c r="AN21" s="1946" t="s">
        <v>1110</v>
      </c>
      <c r="AO21" s="1947">
        <f t="shared" si="6"/>
        <v>0</v>
      </c>
      <c r="AP21" s="1947">
        <f t="shared" si="6"/>
        <v>13358</v>
      </c>
      <c r="AQ21" s="1947">
        <f t="shared" si="6"/>
        <v>10903</v>
      </c>
      <c r="AR21" s="1948">
        <f t="shared" si="7"/>
        <v>0.8162150022458452</v>
      </c>
      <c r="AS21" s="1947">
        <f t="shared" si="8"/>
        <v>50047</v>
      </c>
      <c r="AT21" s="1947">
        <f t="shared" si="8"/>
        <v>68519</v>
      </c>
      <c r="AU21" s="1947">
        <f t="shared" si="8"/>
        <v>62560</v>
      </c>
      <c r="AV21" s="1948">
        <f t="shared" si="9"/>
        <v>0.91303142194135933</v>
      </c>
      <c r="AW21" s="1947">
        <f>AS21-'[6]éves besz.bevételei2016'!BM21</f>
        <v>0</v>
      </c>
      <c r="AX21" s="1947">
        <f>AT21-'[6]éves besz.bevételei2016'!BN21</f>
        <v>0</v>
      </c>
      <c r="AY21" s="1947">
        <f>AU21-'[6]éves besz.bevételei2016'!BO21</f>
        <v>-281</v>
      </c>
    </row>
    <row r="22" spans="1:51" s="1836" customFormat="1" ht="49.5" customHeight="1" x14ac:dyDescent="0.6">
      <c r="A22" s="1946" t="s">
        <v>1344</v>
      </c>
      <c r="B22" s="1947">
        <f>[4]int.kiadások2016!B21</f>
        <v>51228</v>
      </c>
      <c r="C22" s="1947">
        <f>'[5]int.kiadások RM V '!D22</f>
        <v>52518</v>
      </c>
      <c r="D22" s="1947">
        <v>50258</v>
      </c>
      <c r="E22" s="1948">
        <f t="shared" si="0"/>
        <v>0.9569671350774972</v>
      </c>
      <c r="F22" s="1947">
        <f>[4]int.kiadások2016!C21</f>
        <v>13926</v>
      </c>
      <c r="G22" s="1947">
        <f>'[5]int.kiadások RM V '!G22</f>
        <v>14305</v>
      </c>
      <c r="H22" s="1947">
        <v>13574</v>
      </c>
      <c r="I22" s="1948">
        <f t="shared" si="1"/>
        <v>0.94889898636840264</v>
      </c>
      <c r="J22" s="1947">
        <f>[4]int.kiadások2016!D21</f>
        <v>2577</v>
      </c>
      <c r="K22" s="1947">
        <f>'[5]int.kiadások RM V '!J22</f>
        <v>4257</v>
      </c>
      <c r="L22" s="1947">
        <v>3062</v>
      </c>
      <c r="M22" s="1948">
        <f t="shared" si="2"/>
        <v>0.71928588207657973</v>
      </c>
      <c r="N22" s="1946" t="s">
        <v>1344</v>
      </c>
      <c r="O22" s="1947"/>
      <c r="P22" s="1947"/>
      <c r="Q22" s="1947"/>
      <c r="R22" s="1948"/>
      <c r="S22" s="1947"/>
      <c r="T22" s="1947"/>
      <c r="U22" s="1947"/>
      <c r="V22" s="1948"/>
      <c r="W22" s="1947">
        <f t="shared" si="3"/>
        <v>67731</v>
      </c>
      <c r="X22" s="1947">
        <f t="shared" si="3"/>
        <v>71080</v>
      </c>
      <c r="Y22" s="1947">
        <f t="shared" si="3"/>
        <v>66894</v>
      </c>
      <c r="Z22" s="1948">
        <f t="shared" si="4"/>
        <v>0.9411086100168824</v>
      </c>
      <c r="AA22" s="1946" t="s">
        <v>1344</v>
      </c>
      <c r="AB22" s="1947"/>
      <c r="AC22" s="1947">
        <f>'[5]int.kiadások RM V '!X22</f>
        <v>8789</v>
      </c>
      <c r="AD22" s="1947">
        <v>8766</v>
      </c>
      <c r="AE22" s="1948">
        <f t="shared" si="5"/>
        <v>0.99738309250199109</v>
      </c>
      <c r="AF22" s="1947"/>
      <c r="AG22" s="1947">
        <f>'[5]int.kiadások RM V '!AA22</f>
        <v>15595</v>
      </c>
      <c r="AH22" s="1947">
        <v>15355</v>
      </c>
      <c r="AI22" s="1948">
        <f t="shared" si="10"/>
        <v>0.98461045206797049</v>
      </c>
      <c r="AJ22" s="1947"/>
      <c r="AK22" s="1947"/>
      <c r="AL22" s="1947"/>
      <c r="AM22" s="1948"/>
      <c r="AN22" s="1946" t="s">
        <v>1344</v>
      </c>
      <c r="AO22" s="1947">
        <f t="shared" si="6"/>
        <v>0</v>
      </c>
      <c r="AP22" s="1947">
        <f t="shared" si="6"/>
        <v>24384</v>
      </c>
      <c r="AQ22" s="1947">
        <f t="shared" si="6"/>
        <v>24121</v>
      </c>
      <c r="AR22" s="1948">
        <f t="shared" si="7"/>
        <v>0.98921423884514437</v>
      </c>
      <c r="AS22" s="1947">
        <f t="shared" si="8"/>
        <v>67731</v>
      </c>
      <c r="AT22" s="1947">
        <f t="shared" si="8"/>
        <v>95464</v>
      </c>
      <c r="AU22" s="1947">
        <f t="shared" si="8"/>
        <v>91015</v>
      </c>
      <c r="AV22" s="1948">
        <f t="shared" si="9"/>
        <v>0.95339604458225091</v>
      </c>
      <c r="AW22" s="1947">
        <f>AS22-'[6]éves besz.bevételei2016'!BM22</f>
        <v>0</v>
      </c>
      <c r="AX22" s="1947">
        <f>AT22-'[6]éves besz.bevételei2016'!BN22</f>
        <v>0</v>
      </c>
      <c r="AY22" s="1947">
        <f>AU22-'[6]éves besz.bevételei2016'!BO22</f>
        <v>-141</v>
      </c>
    </row>
    <row r="23" spans="1:51" s="1836" customFormat="1" ht="49.5" customHeight="1" x14ac:dyDescent="0.6">
      <c r="A23" s="1946" t="s">
        <v>1345</v>
      </c>
      <c r="B23" s="1947">
        <f>[4]int.kiadások2016!B22</f>
        <v>61624</v>
      </c>
      <c r="C23" s="1947">
        <f>'[5]int.kiadások RM V '!D23</f>
        <v>64690</v>
      </c>
      <c r="D23" s="1947">
        <v>61846</v>
      </c>
      <c r="E23" s="1948">
        <f t="shared" si="0"/>
        <v>0.95603648168186739</v>
      </c>
      <c r="F23" s="1947">
        <f>[4]int.kiadások2016!C22</f>
        <v>16614</v>
      </c>
      <c r="G23" s="1947">
        <f>'[5]int.kiadások RM V '!G23</f>
        <v>17445</v>
      </c>
      <c r="H23" s="1947">
        <v>16697</v>
      </c>
      <c r="I23" s="1948">
        <f t="shared" si="1"/>
        <v>0.95712238463743193</v>
      </c>
      <c r="J23" s="1947">
        <f>[4]int.kiadások2016!D22</f>
        <v>2623</v>
      </c>
      <c r="K23" s="1947">
        <f>'[5]int.kiadások RM V '!J23</f>
        <v>11293</v>
      </c>
      <c r="L23" s="1947">
        <v>10392</v>
      </c>
      <c r="M23" s="1948">
        <f t="shared" si="2"/>
        <v>0.92021606304790582</v>
      </c>
      <c r="N23" s="1946" t="s">
        <v>1345</v>
      </c>
      <c r="O23" s="1947"/>
      <c r="P23" s="1947"/>
      <c r="Q23" s="1947"/>
      <c r="R23" s="1948"/>
      <c r="S23" s="1947"/>
      <c r="T23" s="1947"/>
      <c r="U23" s="1947"/>
      <c r="V23" s="1948"/>
      <c r="W23" s="1947">
        <f t="shared" si="3"/>
        <v>80861</v>
      </c>
      <c r="X23" s="1947">
        <f t="shared" si="3"/>
        <v>93428</v>
      </c>
      <c r="Y23" s="1947">
        <f t="shared" si="3"/>
        <v>88935</v>
      </c>
      <c r="Z23" s="1948">
        <f t="shared" si="4"/>
        <v>0.95190949180117312</v>
      </c>
      <c r="AA23" s="1946" t="s">
        <v>1345</v>
      </c>
      <c r="AB23" s="1947"/>
      <c r="AC23" s="1947">
        <f>'[5]int.kiadások RM V '!X23</f>
        <v>678</v>
      </c>
      <c r="AD23" s="1947">
        <v>678</v>
      </c>
      <c r="AE23" s="1948">
        <f t="shared" si="5"/>
        <v>1</v>
      </c>
      <c r="AF23" s="1947"/>
      <c r="AG23" s="1947">
        <f>'[5]int.kiadások RM V '!AA23</f>
        <v>237</v>
      </c>
      <c r="AH23" s="1947">
        <v>236</v>
      </c>
      <c r="AI23" s="1948">
        <f t="shared" si="10"/>
        <v>0.99578059071729963</v>
      </c>
      <c r="AJ23" s="1947"/>
      <c r="AK23" s="1947"/>
      <c r="AL23" s="1947"/>
      <c r="AM23" s="1948"/>
      <c r="AN23" s="1946" t="s">
        <v>1345</v>
      </c>
      <c r="AO23" s="1947">
        <f t="shared" si="6"/>
        <v>0</v>
      </c>
      <c r="AP23" s="1947">
        <f t="shared" si="6"/>
        <v>915</v>
      </c>
      <c r="AQ23" s="1947">
        <f t="shared" si="6"/>
        <v>914</v>
      </c>
      <c r="AR23" s="1948">
        <f t="shared" si="7"/>
        <v>0.99890710382513659</v>
      </c>
      <c r="AS23" s="1947">
        <f t="shared" si="8"/>
        <v>80861</v>
      </c>
      <c r="AT23" s="1947">
        <f t="shared" si="8"/>
        <v>94343</v>
      </c>
      <c r="AU23" s="1947">
        <f t="shared" si="8"/>
        <v>89849</v>
      </c>
      <c r="AV23" s="1948">
        <f t="shared" si="9"/>
        <v>0.95236530532206942</v>
      </c>
      <c r="AW23" s="1947">
        <f>AS23-'[6]éves besz.bevételei2016'!BM23</f>
        <v>0</v>
      </c>
      <c r="AX23" s="1947">
        <f>AT23-'[6]éves besz.bevételei2016'!BN23</f>
        <v>0</v>
      </c>
      <c r="AY23" s="1947">
        <f>AU23-'[6]éves besz.bevételei2016'!BO23</f>
        <v>-194</v>
      </c>
    </row>
    <row r="24" spans="1:51" s="1836" customFormat="1" ht="49.5" customHeight="1" x14ac:dyDescent="0.6">
      <c r="A24" s="1946" t="s">
        <v>1109</v>
      </c>
      <c r="B24" s="1947">
        <f>[4]int.kiadások2016!B23</f>
        <v>85020</v>
      </c>
      <c r="C24" s="1947">
        <f>'[5]int.kiadások RM V '!D24</f>
        <v>88910</v>
      </c>
      <c r="D24" s="1947">
        <v>87039</v>
      </c>
      <c r="E24" s="1948">
        <f t="shared" si="0"/>
        <v>0.9789562478911259</v>
      </c>
      <c r="F24" s="1947">
        <f>[4]int.kiadások2016!C23</f>
        <v>24590</v>
      </c>
      <c r="G24" s="1947">
        <f>'[5]int.kiadások RM V '!G24</f>
        <v>25732</v>
      </c>
      <c r="H24" s="1947">
        <v>25254</v>
      </c>
      <c r="I24" s="1948">
        <f t="shared" si="1"/>
        <v>0.9814239079745064</v>
      </c>
      <c r="J24" s="1947">
        <f>[4]int.kiadások2016!D23</f>
        <v>3429</v>
      </c>
      <c r="K24" s="1947">
        <f>'[5]int.kiadások RM V '!J24</f>
        <v>9058</v>
      </c>
      <c r="L24" s="1947">
        <v>6816</v>
      </c>
      <c r="M24" s="1948">
        <f t="shared" si="2"/>
        <v>0.7524839920512254</v>
      </c>
      <c r="N24" s="1946" t="s">
        <v>1109</v>
      </c>
      <c r="O24" s="1947"/>
      <c r="P24" s="1947"/>
      <c r="Q24" s="1947"/>
      <c r="R24" s="1948"/>
      <c r="S24" s="1947"/>
      <c r="T24" s="1947"/>
      <c r="U24" s="1947"/>
      <c r="V24" s="1948"/>
      <c r="W24" s="1947">
        <f t="shared" si="3"/>
        <v>113039</v>
      </c>
      <c r="X24" s="1947">
        <f t="shared" si="3"/>
        <v>123700</v>
      </c>
      <c r="Y24" s="1947">
        <f t="shared" si="3"/>
        <v>119109</v>
      </c>
      <c r="Z24" s="1948">
        <f t="shared" si="4"/>
        <v>0.96288601455133382</v>
      </c>
      <c r="AA24" s="1946" t="s">
        <v>1109</v>
      </c>
      <c r="AB24" s="1947"/>
      <c r="AC24" s="1947">
        <f>'[5]int.kiadások RM V '!X24</f>
        <v>952</v>
      </c>
      <c r="AD24" s="1947">
        <v>895</v>
      </c>
      <c r="AE24" s="1948">
        <f t="shared" si="5"/>
        <v>0.94012605042016806</v>
      </c>
      <c r="AF24" s="1947"/>
      <c r="AG24" s="1947">
        <f>'[5]int.kiadások RM V '!AA24</f>
        <v>903</v>
      </c>
      <c r="AH24" s="1947">
        <v>902</v>
      </c>
      <c r="AI24" s="1948">
        <f t="shared" si="10"/>
        <v>0.99889258028792915</v>
      </c>
      <c r="AJ24" s="1947"/>
      <c r="AK24" s="1947"/>
      <c r="AL24" s="1947"/>
      <c r="AM24" s="1948"/>
      <c r="AN24" s="1946" t="s">
        <v>1109</v>
      </c>
      <c r="AO24" s="1947">
        <f t="shared" si="6"/>
        <v>0</v>
      </c>
      <c r="AP24" s="1947">
        <f t="shared" si="6"/>
        <v>1855</v>
      </c>
      <c r="AQ24" s="1947">
        <f t="shared" si="6"/>
        <v>1797</v>
      </c>
      <c r="AR24" s="1948">
        <f t="shared" si="7"/>
        <v>0.96873315363881407</v>
      </c>
      <c r="AS24" s="1947">
        <f t="shared" si="8"/>
        <v>113039</v>
      </c>
      <c r="AT24" s="1947">
        <f t="shared" si="8"/>
        <v>125555</v>
      </c>
      <c r="AU24" s="1947">
        <f t="shared" si="8"/>
        <v>120906</v>
      </c>
      <c r="AV24" s="1948">
        <f t="shared" si="9"/>
        <v>0.96297240253275462</v>
      </c>
      <c r="AW24" s="1947">
        <f>AS24-'[6]éves besz.bevételei2016'!BM24</f>
        <v>0</v>
      </c>
      <c r="AX24" s="1947">
        <f>AT24-'[6]éves besz.bevételei2016'!BN24</f>
        <v>0</v>
      </c>
      <c r="AY24" s="1947">
        <f>AU24-'[6]éves besz.bevételei2016'!BO24</f>
        <v>-183</v>
      </c>
    </row>
    <row r="25" spans="1:51" s="1836" customFormat="1" ht="49.5" customHeight="1" x14ac:dyDescent="0.6">
      <c r="A25" s="1946" t="s">
        <v>1368</v>
      </c>
      <c r="B25" s="1947">
        <f>[4]int.kiadások2016!B24</f>
        <v>71488</v>
      </c>
      <c r="C25" s="1947">
        <f>'[5]int.kiadások RM V '!D25</f>
        <v>74742</v>
      </c>
      <c r="D25" s="1947">
        <v>69075</v>
      </c>
      <c r="E25" s="1948">
        <f t="shared" si="0"/>
        <v>0.92417917636670144</v>
      </c>
      <c r="F25" s="1947">
        <f>[4]int.kiadások2016!C24</f>
        <v>19397</v>
      </c>
      <c r="G25" s="1947">
        <f>'[5]int.kiadások RM V '!G25</f>
        <v>20238</v>
      </c>
      <c r="H25" s="1947">
        <v>18979</v>
      </c>
      <c r="I25" s="1948">
        <f t="shared" si="1"/>
        <v>0.93779029548374349</v>
      </c>
      <c r="J25" s="1947">
        <f>[4]int.kiadások2016!D24</f>
        <v>2612</v>
      </c>
      <c r="K25" s="1947">
        <f>'[5]int.kiadások RM V '!J25</f>
        <v>6511</v>
      </c>
      <c r="L25" s="1947">
        <v>5464</v>
      </c>
      <c r="M25" s="1948">
        <f t="shared" si="2"/>
        <v>0.83919520810935344</v>
      </c>
      <c r="N25" s="1946" t="s">
        <v>1368</v>
      </c>
      <c r="O25" s="1947"/>
      <c r="P25" s="1947"/>
      <c r="Q25" s="1947"/>
      <c r="R25" s="1948"/>
      <c r="S25" s="1947"/>
      <c r="T25" s="1947"/>
      <c r="U25" s="1947"/>
      <c r="V25" s="1948"/>
      <c r="W25" s="1947">
        <f t="shared" si="3"/>
        <v>93497</v>
      </c>
      <c r="X25" s="1947">
        <f t="shared" si="3"/>
        <v>101491</v>
      </c>
      <c r="Y25" s="1947">
        <f t="shared" si="3"/>
        <v>93518</v>
      </c>
      <c r="Z25" s="1948">
        <f t="shared" si="4"/>
        <v>0.92144131006690244</v>
      </c>
      <c r="AA25" s="1946" t="s">
        <v>1368</v>
      </c>
      <c r="AB25" s="1947"/>
      <c r="AC25" s="1947">
        <f>'[5]int.kiadások RM V '!X25</f>
        <v>865</v>
      </c>
      <c r="AD25" s="1947">
        <v>841</v>
      </c>
      <c r="AE25" s="1948">
        <f t="shared" si="5"/>
        <v>0.97225433526011562</v>
      </c>
      <c r="AF25" s="1947"/>
      <c r="AG25" s="1947">
        <f>'[5]int.kiadások RM V '!AA25</f>
        <v>270</v>
      </c>
      <c r="AH25" s="1947">
        <v>270</v>
      </c>
      <c r="AI25" s="1948">
        <f t="shared" si="10"/>
        <v>1</v>
      </c>
      <c r="AJ25" s="1947"/>
      <c r="AK25" s="1947"/>
      <c r="AL25" s="1947"/>
      <c r="AM25" s="1948"/>
      <c r="AN25" s="1946" t="s">
        <v>1368</v>
      </c>
      <c r="AO25" s="1947">
        <f t="shared" si="6"/>
        <v>0</v>
      </c>
      <c r="AP25" s="1947">
        <f t="shared" si="6"/>
        <v>1135</v>
      </c>
      <c r="AQ25" s="1947">
        <f t="shared" si="6"/>
        <v>1111</v>
      </c>
      <c r="AR25" s="1948">
        <f t="shared" si="7"/>
        <v>0.97885462555066083</v>
      </c>
      <c r="AS25" s="1947">
        <f t="shared" si="8"/>
        <v>93497</v>
      </c>
      <c r="AT25" s="1947">
        <f t="shared" si="8"/>
        <v>102626</v>
      </c>
      <c r="AU25" s="1947">
        <f t="shared" si="8"/>
        <v>94629</v>
      </c>
      <c r="AV25" s="1948">
        <f t="shared" si="9"/>
        <v>0.92207627696685046</v>
      </c>
      <c r="AW25" s="1947">
        <f>AS25-'[6]éves besz.bevételei2016'!BM25</f>
        <v>0</v>
      </c>
      <c r="AX25" s="1947">
        <f>AT25-'[6]éves besz.bevételei2016'!BN25</f>
        <v>0</v>
      </c>
      <c r="AY25" s="1947">
        <f>AU25-'[6]éves besz.bevételei2016'!BO25</f>
        <v>-256</v>
      </c>
    </row>
    <row r="26" spans="1:51" s="1836" customFormat="1" ht="49.5" customHeight="1" x14ac:dyDescent="0.6">
      <c r="A26" s="1946" t="s">
        <v>1346</v>
      </c>
      <c r="B26" s="1947">
        <f>[4]int.kiadások2016!B25</f>
        <v>46566</v>
      </c>
      <c r="C26" s="1947">
        <f>'[5]int.kiadások RM V '!D26</f>
        <v>49129</v>
      </c>
      <c r="D26" s="1947">
        <v>47569</v>
      </c>
      <c r="E26" s="1948">
        <f t="shared" si="0"/>
        <v>0.96824686030653995</v>
      </c>
      <c r="F26" s="1947">
        <f>[4]int.kiadások2016!C25</f>
        <v>12538</v>
      </c>
      <c r="G26" s="1947">
        <f>'[5]int.kiadások RM V '!G26</f>
        <v>13310</v>
      </c>
      <c r="H26" s="1947">
        <v>12758</v>
      </c>
      <c r="I26" s="1948">
        <f t="shared" si="1"/>
        <v>0.95852742299023286</v>
      </c>
      <c r="J26" s="1947">
        <f>[4]int.kiadások2016!D25</f>
        <v>2374</v>
      </c>
      <c r="K26" s="1947">
        <f>'[5]int.kiadások RM V '!J26</f>
        <v>5249</v>
      </c>
      <c r="L26" s="1947">
        <v>4508</v>
      </c>
      <c r="M26" s="1948">
        <f t="shared" si="2"/>
        <v>0.85883025338159646</v>
      </c>
      <c r="N26" s="1946" t="s">
        <v>1346</v>
      </c>
      <c r="O26" s="1947"/>
      <c r="P26" s="1947"/>
      <c r="Q26" s="1947"/>
      <c r="R26" s="1948"/>
      <c r="S26" s="1947"/>
      <c r="T26" s="1947"/>
      <c r="U26" s="1947"/>
      <c r="V26" s="1948"/>
      <c r="W26" s="1947">
        <f t="shared" si="3"/>
        <v>61478</v>
      </c>
      <c r="X26" s="1947">
        <f t="shared" si="3"/>
        <v>67688</v>
      </c>
      <c r="Y26" s="1947">
        <f t="shared" si="3"/>
        <v>64835</v>
      </c>
      <c r="Z26" s="1948">
        <f t="shared" si="4"/>
        <v>0.95785072686443684</v>
      </c>
      <c r="AA26" s="1946" t="s">
        <v>1346</v>
      </c>
      <c r="AB26" s="1947"/>
      <c r="AC26" s="1947">
        <f>'[5]int.kiadások RM V '!X26</f>
        <v>2050</v>
      </c>
      <c r="AD26" s="1947">
        <v>1850</v>
      </c>
      <c r="AE26" s="1948">
        <f t="shared" si="5"/>
        <v>0.90243902439024393</v>
      </c>
      <c r="AF26" s="1947"/>
      <c r="AG26" s="1947">
        <f>'[5]int.kiadások RM V '!AA26</f>
        <v>1940</v>
      </c>
      <c r="AH26" s="1947">
        <v>1852</v>
      </c>
      <c r="AI26" s="1948">
        <f>AH26/AG26</f>
        <v>0.95463917525773201</v>
      </c>
      <c r="AJ26" s="1947"/>
      <c r="AK26" s="1947"/>
      <c r="AL26" s="1947"/>
      <c r="AM26" s="1948"/>
      <c r="AN26" s="1946" t="s">
        <v>1346</v>
      </c>
      <c r="AO26" s="1947">
        <f t="shared" si="6"/>
        <v>0</v>
      </c>
      <c r="AP26" s="1947">
        <f t="shared" si="6"/>
        <v>3990</v>
      </c>
      <c r="AQ26" s="1947">
        <f t="shared" si="6"/>
        <v>3702</v>
      </c>
      <c r="AR26" s="1948">
        <f t="shared" si="7"/>
        <v>0.92781954887218043</v>
      </c>
      <c r="AS26" s="1947">
        <f t="shared" si="8"/>
        <v>61478</v>
      </c>
      <c r="AT26" s="1947">
        <f t="shared" si="8"/>
        <v>71678</v>
      </c>
      <c r="AU26" s="1947">
        <f t="shared" si="8"/>
        <v>68537</v>
      </c>
      <c r="AV26" s="1948">
        <f t="shared" si="9"/>
        <v>0.95617902285220013</v>
      </c>
      <c r="AW26" s="1947">
        <f>AS26-'[6]éves besz.bevételei2016'!BM26</f>
        <v>0</v>
      </c>
      <c r="AX26" s="1947">
        <f>AT26-'[6]éves besz.bevételei2016'!BN26</f>
        <v>0</v>
      </c>
      <c r="AY26" s="1947">
        <f>AU26-'[6]éves besz.bevételei2016'!BO26</f>
        <v>-175</v>
      </c>
    </row>
    <row r="27" spans="1:51" s="1836" customFormat="1" ht="49.5" customHeight="1" thickBot="1" x14ac:dyDescent="0.65">
      <c r="A27" s="1949" t="s">
        <v>1347</v>
      </c>
      <c r="B27" s="1950">
        <f>[4]int.kiadások2016!B26</f>
        <v>35814</v>
      </c>
      <c r="C27" s="1947">
        <f>'[5]int.kiadások RM V '!D27</f>
        <v>39188</v>
      </c>
      <c r="D27" s="1950">
        <v>37363</v>
      </c>
      <c r="E27" s="1951">
        <f t="shared" si="0"/>
        <v>0.95342962131264675</v>
      </c>
      <c r="F27" s="1950">
        <f>[4]int.kiadások2016!C26</f>
        <v>9753</v>
      </c>
      <c r="G27" s="1947">
        <f>'[5]int.kiadások RM V '!G27</f>
        <v>10683</v>
      </c>
      <c r="H27" s="1950">
        <v>10115</v>
      </c>
      <c r="I27" s="1951">
        <f t="shared" si="1"/>
        <v>0.94683141439670504</v>
      </c>
      <c r="J27" s="1950">
        <f>[4]int.kiadások2016!D26</f>
        <v>2178</v>
      </c>
      <c r="K27" s="1947">
        <f>'[5]int.kiadások RM V '!J27</f>
        <v>3836</v>
      </c>
      <c r="L27" s="1950">
        <v>3498</v>
      </c>
      <c r="M27" s="1951">
        <f t="shared" si="2"/>
        <v>0.91188738269030245</v>
      </c>
      <c r="N27" s="1949" t="s">
        <v>1347</v>
      </c>
      <c r="O27" s="1950"/>
      <c r="P27" s="1947"/>
      <c r="Q27" s="1950"/>
      <c r="R27" s="1951"/>
      <c r="S27" s="1950"/>
      <c r="T27" s="1950"/>
      <c r="U27" s="1950"/>
      <c r="V27" s="1951"/>
      <c r="W27" s="1947">
        <f t="shared" si="3"/>
        <v>47745</v>
      </c>
      <c r="X27" s="1947">
        <f t="shared" si="3"/>
        <v>53707</v>
      </c>
      <c r="Y27" s="1947">
        <f t="shared" si="3"/>
        <v>50976</v>
      </c>
      <c r="Z27" s="1951">
        <f t="shared" si="4"/>
        <v>0.94915001768856944</v>
      </c>
      <c r="AA27" s="1949" t="s">
        <v>1347</v>
      </c>
      <c r="AB27" s="1950"/>
      <c r="AC27" s="1947">
        <f>'[5]int.kiadások RM V '!X27</f>
        <v>2105</v>
      </c>
      <c r="AD27" s="1950">
        <v>2012</v>
      </c>
      <c r="AE27" s="1951">
        <f t="shared" si="5"/>
        <v>0.95581947743467932</v>
      </c>
      <c r="AF27" s="1950"/>
      <c r="AG27" s="1947">
        <f>'[5]int.kiadások RM V '!AA27</f>
        <v>90</v>
      </c>
      <c r="AH27" s="1950">
        <v>90</v>
      </c>
      <c r="AI27" s="1951">
        <f>AH27/AG27</f>
        <v>1</v>
      </c>
      <c r="AJ27" s="1950"/>
      <c r="AK27" s="1950"/>
      <c r="AL27" s="1950"/>
      <c r="AM27" s="1951"/>
      <c r="AN27" s="1949" t="s">
        <v>1347</v>
      </c>
      <c r="AO27" s="1947">
        <f t="shared" si="6"/>
        <v>0</v>
      </c>
      <c r="AP27" s="1947">
        <f t="shared" si="6"/>
        <v>2195</v>
      </c>
      <c r="AQ27" s="1947">
        <f t="shared" si="6"/>
        <v>2102</v>
      </c>
      <c r="AR27" s="1951">
        <f t="shared" si="7"/>
        <v>0.957630979498861</v>
      </c>
      <c r="AS27" s="1947">
        <f t="shared" si="8"/>
        <v>47745</v>
      </c>
      <c r="AT27" s="1947">
        <f t="shared" si="8"/>
        <v>55902</v>
      </c>
      <c r="AU27" s="1947">
        <f t="shared" si="8"/>
        <v>53078</v>
      </c>
      <c r="AV27" s="1951">
        <f t="shared" si="9"/>
        <v>0.94948302386318917</v>
      </c>
      <c r="AW27" s="1947">
        <f>AS27-'[6]éves besz.bevételei2016'!BM27</f>
        <v>0</v>
      </c>
      <c r="AX27" s="1947">
        <f>AT27-'[6]éves besz.bevételei2016'!BN27</f>
        <v>0</v>
      </c>
      <c r="AY27" s="1947">
        <f>AU27-'[6]éves besz.bevételei2016'!BO27</f>
        <v>-562</v>
      </c>
    </row>
    <row r="28" spans="1:51" s="1836" customFormat="1" ht="49.5" customHeight="1" thickBot="1" x14ac:dyDescent="0.65">
      <c r="A28" s="1952" t="s">
        <v>1113</v>
      </c>
      <c r="B28" s="1953">
        <f>SUM(B10:B27)</f>
        <v>1190200</v>
      </c>
      <c r="C28" s="1953">
        <f>SUM(C10:C27)</f>
        <v>1236123</v>
      </c>
      <c r="D28" s="1953">
        <f>SUM(D10:D27)</f>
        <v>1189199</v>
      </c>
      <c r="E28" s="1954">
        <f t="shared" si="0"/>
        <v>0.96203937634038039</v>
      </c>
      <c r="F28" s="1953">
        <f>SUM(F10:F27)</f>
        <v>331294</v>
      </c>
      <c r="G28" s="1953">
        <f>SUM(G10:G27)</f>
        <v>344468</v>
      </c>
      <c r="H28" s="1953">
        <f>SUM(H10:H27)</f>
        <v>331230</v>
      </c>
      <c r="I28" s="1954">
        <f t="shared" si="1"/>
        <v>0.96156972490913528</v>
      </c>
      <c r="J28" s="1953">
        <f>SUM(J10:J27)</f>
        <v>51462</v>
      </c>
      <c r="K28" s="1953">
        <f>SUM(K10:K27)</f>
        <v>99618</v>
      </c>
      <c r="L28" s="1953">
        <f>SUM(L10:L27)</f>
        <v>82481</v>
      </c>
      <c r="M28" s="1954">
        <f t="shared" si="2"/>
        <v>0.8279728563111084</v>
      </c>
      <c r="N28" s="1952" t="s">
        <v>1113</v>
      </c>
      <c r="O28" s="1953">
        <f>SUM(O10:O27)</f>
        <v>0</v>
      </c>
      <c r="P28" s="1953">
        <f>SUM(P10:P27)</f>
        <v>0</v>
      </c>
      <c r="Q28" s="1953">
        <f>SUM(Q10:Q27)</f>
        <v>0</v>
      </c>
      <c r="R28" s="1954"/>
      <c r="S28" s="1953">
        <f>SUM(S10:S27)</f>
        <v>0</v>
      </c>
      <c r="T28" s="1953">
        <f>SUM(T10:T27)</f>
        <v>0</v>
      </c>
      <c r="U28" s="1953">
        <f>SUM(U10:U27)</f>
        <v>0</v>
      </c>
      <c r="V28" s="1954"/>
      <c r="W28" s="1953">
        <f>SUM(W10:W27)</f>
        <v>1572956</v>
      </c>
      <c r="X28" s="1953">
        <f>SUM(X10:X27)</f>
        <v>1680209</v>
      </c>
      <c r="Y28" s="1953">
        <f>SUM(Y10:Y27)</f>
        <v>1602910</v>
      </c>
      <c r="Z28" s="1954">
        <f t="shared" si="4"/>
        <v>0.95399441379018923</v>
      </c>
      <c r="AA28" s="1952" t="s">
        <v>1113</v>
      </c>
      <c r="AB28" s="1953">
        <f>SUM(AB10:AB27)</f>
        <v>0</v>
      </c>
      <c r="AC28" s="1953">
        <f>SUM(AC10:AC27)</f>
        <v>32743</v>
      </c>
      <c r="AD28" s="1953">
        <f>SUM(AD10:AD27)</f>
        <v>29250</v>
      </c>
      <c r="AE28" s="1954">
        <f t="shared" si="5"/>
        <v>0.8933207097700272</v>
      </c>
      <c r="AF28" s="1953">
        <f>SUM(AF10:AF27)</f>
        <v>0</v>
      </c>
      <c r="AG28" s="1953">
        <f>SUM(AG10:AG27)</f>
        <v>49841</v>
      </c>
      <c r="AH28" s="1953">
        <f>SUM(AH10:AH27)</f>
        <v>45085</v>
      </c>
      <c r="AI28" s="1954">
        <f>AH28/AG28</f>
        <v>0.90457655343993904</v>
      </c>
      <c r="AJ28" s="1953">
        <f>SUM(AJ10:AJ27)</f>
        <v>0</v>
      </c>
      <c r="AK28" s="1953">
        <f>SUM(AK10:AK27)</f>
        <v>0</v>
      </c>
      <c r="AL28" s="1953">
        <f>SUM(AL10:AL27)</f>
        <v>0</v>
      </c>
      <c r="AM28" s="1954"/>
      <c r="AN28" s="1952" t="s">
        <v>1113</v>
      </c>
      <c r="AO28" s="1953">
        <f>SUM(AO10:AO27)</f>
        <v>0</v>
      </c>
      <c r="AP28" s="1953">
        <f>SUM(AP10:AP27)</f>
        <v>82584</v>
      </c>
      <c r="AQ28" s="1953">
        <f>SUM(AQ10:AQ27)</f>
        <v>74335</v>
      </c>
      <c r="AR28" s="1954">
        <f t="shared" si="7"/>
        <v>0.90011382350092028</v>
      </c>
      <c r="AS28" s="1953">
        <f>SUM(AS10:AS27)</f>
        <v>1572956</v>
      </c>
      <c r="AT28" s="1953">
        <f>SUM(AT10:AT27)</f>
        <v>1762793</v>
      </c>
      <c r="AU28" s="1953">
        <f>SUM(AU10:AU27)</f>
        <v>1677245</v>
      </c>
      <c r="AV28" s="1954">
        <f t="shared" si="9"/>
        <v>0.95147019530937549</v>
      </c>
      <c r="AW28" s="1947">
        <f>AS28-'[6]éves besz.bevételei2016'!BM28</f>
        <v>0</v>
      </c>
      <c r="AX28" s="1947">
        <f>AT28-'[6]éves besz.bevételei2016'!BN28</f>
        <v>0</v>
      </c>
      <c r="AY28" s="1947">
        <f>AU28-'[6]éves besz.bevételei2016'!BO28</f>
        <v>-6073</v>
      </c>
    </row>
    <row r="29" spans="1:51" s="1836" customFormat="1" ht="49.5" customHeight="1" thickBot="1" x14ac:dyDescent="0.65">
      <c r="A29" s="1952" t="s">
        <v>270</v>
      </c>
      <c r="B29" s="1953">
        <f>[4]int.kiadások2016!B28</f>
        <v>321549</v>
      </c>
      <c r="C29" s="1947">
        <f>'[5]int.kiadások RM V '!D29</f>
        <v>381860</v>
      </c>
      <c r="D29" s="1953">
        <v>334308</v>
      </c>
      <c r="E29" s="1954">
        <f t="shared" si="0"/>
        <v>0.87547268632483111</v>
      </c>
      <c r="F29" s="1953">
        <f>[4]int.kiadások2016!C28</f>
        <v>93651</v>
      </c>
      <c r="G29" s="1947">
        <f>'[5]int.kiadások RM V '!G29</f>
        <v>108949</v>
      </c>
      <c r="H29" s="1953">
        <f>96351-1</f>
        <v>96350</v>
      </c>
      <c r="I29" s="1954">
        <f t="shared" si="1"/>
        <v>0.88435873665660081</v>
      </c>
      <c r="J29" s="1953">
        <f>[4]int.kiadások2016!D28</f>
        <v>1475527</v>
      </c>
      <c r="K29" s="1947">
        <f>'[5]int.kiadások RM V '!J29</f>
        <v>1520863</v>
      </c>
      <c r="L29" s="1953">
        <v>1354132</v>
      </c>
      <c r="M29" s="1954">
        <f t="shared" si="2"/>
        <v>0.89037079605460845</v>
      </c>
      <c r="N29" s="1952" t="s">
        <v>270</v>
      </c>
      <c r="O29" s="1953"/>
      <c r="P29" s="1947"/>
      <c r="Q29" s="1953"/>
      <c r="R29" s="1954"/>
      <c r="S29" s="1953"/>
      <c r="T29" s="1953">
        <f>'[5]int.kiadások RM V '!$Q$29</f>
        <v>70</v>
      </c>
      <c r="U29" s="1953">
        <v>70</v>
      </c>
      <c r="V29" s="1954">
        <f>U29/T29</f>
        <v>1</v>
      </c>
      <c r="W29" s="1947">
        <f>B29+F29+J29+O29+S29</f>
        <v>1890727</v>
      </c>
      <c r="X29" s="1947">
        <f>C29+G29+K29+P29+T29</f>
        <v>2011742</v>
      </c>
      <c r="Y29" s="1947">
        <f>D29+H29+L29+Q29+U29</f>
        <v>1784860</v>
      </c>
      <c r="Z29" s="1954">
        <f t="shared" si="4"/>
        <v>0.88722112477643755</v>
      </c>
      <c r="AA29" s="1952" t="s">
        <v>270</v>
      </c>
      <c r="AB29" s="1953"/>
      <c r="AC29" s="1947">
        <f>'[5]int.kiadások RM V '!X29</f>
        <v>111479</v>
      </c>
      <c r="AD29" s="1953">
        <v>110427</v>
      </c>
      <c r="AE29" s="1954">
        <f t="shared" si="5"/>
        <v>0.99056324509548888</v>
      </c>
      <c r="AF29" s="1953"/>
      <c r="AG29" s="1947">
        <f>'[5]int.kiadások RM V '!AA29</f>
        <v>99523</v>
      </c>
      <c r="AH29" s="1953">
        <v>99522</v>
      </c>
      <c r="AI29" s="1954">
        <f>AH29/AG29</f>
        <v>0.99998995207138053</v>
      </c>
      <c r="AJ29" s="1953"/>
      <c r="AK29" s="1953"/>
      <c r="AL29" s="1953"/>
      <c r="AM29" s="1954"/>
      <c r="AN29" s="1952" t="s">
        <v>270</v>
      </c>
      <c r="AO29" s="1947">
        <f>AB29+AF29+AJ29</f>
        <v>0</v>
      </c>
      <c r="AP29" s="1947">
        <f>AC29+AG29+AK29</f>
        <v>211002</v>
      </c>
      <c r="AQ29" s="1947">
        <f>AD29+AH29+AL29</f>
        <v>209949</v>
      </c>
      <c r="AR29" s="1954">
        <f t="shared" si="7"/>
        <v>0.99500952597605707</v>
      </c>
      <c r="AS29" s="1947">
        <f>W29+AO29</f>
        <v>1890727</v>
      </c>
      <c r="AT29" s="1947">
        <f>X29+AP29</f>
        <v>2222744</v>
      </c>
      <c r="AU29" s="1947">
        <f>Y29+AQ29</f>
        <v>1994809</v>
      </c>
      <c r="AV29" s="1954">
        <f t="shared" si="9"/>
        <v>0.89745332795859534</v>
      </c>
      <c r="AW29" s="1947">
        <f>AS29-'[6]éves besz.bevételei2016'!BM29</f>
        <v>0</v>
      </c>
      <c r="AX29" s="1947">
        <f>AT29-'[6]éves besz.bevételei2016'!BN29</f>
        <v>0</v>
      </c>
      <c r="AY29" s="1947">
        <f>AU29-'[6]éves besz.bevételei2016'!BO29</f>
        <v>-2657</v>
      </c>
    </row>
    <row r="30" spans="1:51" s="1836" customFormat="1" ht="49.5" customHeight="1" thickBot="1" x14ac:dyDescent="0.65">
      <c r="A30" s="1952" t="s">
        <v>4</v>
      </c>
      <c r="B30" s="1953">
        <f>SUM(B28:B29)</f>
        <v>1511749</v>
      </c>
      <c r="C30" s="1953">
        <f>SUM(C28:C29)</f>
        <v>1617983</v>
      </c>
      <c r="D30" s="1953">
        <f>SUM(D28:D29)</f>
        <v>1523507</v>
      </c>
      <c r="E30" s="1955">
        <f t="shared" si="0"/>
        <v>0.94160878080919264</v>
      </c>
      <c r="F30" s="1953">
        <f>SUM(F28:F29)</f>
        <v>424945</v>
      </c>
      <c r="G30" s="1953">
        <f>SUM(G28:G29)</f>
        <v>453417</v>
      </c>
      <c r="H30" s="1953">
        <f>SUM(H28:H29)</f>
        <v>427580</v>
      </c>
      <c r="I30" s="1955">
        <f t="shared" si="1"/>
        <v>0.94301713433770684</v>
      </c>
      <c r="J30" s="1953">
        <f>SUM(J28:J29)</f>
        <v>1526989</v>
      </c>
      <c r="K30" s="1953">
        <f>SUM(K28:K29)</f>
        <v>1620481</v>
      </c>
      <c r="L30" s="1953">
        <f>SUM(L28:L29)</f>
        <v>1436613</v>
      </c>
      <c r="M30" s="1955">
        <f t="shared" si="2"/>
        <v>0.88653492388988209</v>
      </c>
      <c r="N30" s="1952" t="s">
        <v>4</v>
      </c>
      <c r="O30" s="1953">
        <f>SUM(O28:O29)</f>
        <v>0</v>
      </c>
      <c r="P30" s="1953">
        <f>SUM(P28:P29)</f>
        <v>0</v>
      </c>
      <c r="Q30" s="1953">
        <f>SUM(Q28:Q29)</f>
        <v>0</v>
      </c>
      <c r="R30" s="1955"/>
      <c r="S30" s="1953">
        <f>SUM(S28:S29)</f>
        <v>0</v>
      </c>
      <c r="T30" s="1953">
        <f>SUM(T28:T29)</f>
        <v>70</v>
      </c>
      <c r="U30" s="1953">
        <f>SUM(U28:U29)</f>
        <v>70</v>
      </c>
      <c r="V30" s="1955">
        <f>U30/T30</f>
        <v>1</v>
      </c>
      <c r="W30" s="1953">
        <f>SUM(W28:W29)</f>
        <v>3463683</v>
      </c>
      <c r="X30" s="1953">
        <f>SUM(X28:X29)</f>
        <v>3691951</v>
      </c>
      <c r="Y30" s="1953">
        <f>SUM(Y28:Y29)</f>
        <v>3387770</v>
      </c>
      <c r="Z30" s="1955">
        <f t="shared" si="4"/>
        <v>0.91760968658576458</v>
      </c>
      <c r="AA30" s="1952" t="s">
        <v>4</v>
      </c>
      <c r="AB30" s="1953">
        <f>SUM(AB28:AB29)</f>
        <v>0</v>
      </c>
      <c r="AC30" s="1953">
        <f>SUM(AC28:AC29)</f>
        <v>144222</v>
      </c>
      <c r="AD30" s="1953">
        <f>SUM(AD28:AD29)</f>
        <v>139677</v>
      </c>
      <c r="AE30" s="1955">
        <f t="shared" si="5"/>
        <v>0.96848608395390434</v>
      </c>
      <c r="AF30" s="1953">
        <f>SUM(AF28:AF29)</f>
        <v>0</v>
      </c>
      <c r="AG30" s="1953">
        <f>SUM(AG28:AG29)</f>
        <v>149364</v>
      </c>
      <c r="AH30" s="1953">
        <f>SUM(AH28:AH29)</f>
        <v>144607</v>
      </c>
      <c r="AI30" s="1955">
        <f>AH30/AG30</f>
        <v>0.96815162957606915</v>
      </c>
      <c r="AJ30" s="1953">
        <f>SUM(AJ28:AJ29)</f>
        <v>0</v>
      </c>
      <c r="AK30" s="1953">
        <f>SUM(AK28:AK29)</f>
        <v>0</v>
      </c>
      <c r="AL30" s="1953">
        <f>SUM(AL28:AL29)</f>
        <v>0</v>
      </c>
      <c r="AM30" s="1955"/>
      <c r="AN30" s="1952" t="s">
        <v>4</v>
      </c>
      <c r="AO30" s="1953">
        <f>SUM(AO28:AO29)</f>
        <v>0</v>
      </c>
      <c r="AP30" s="1953">
        <f>SUM(AP28:AP29)</f>
        <v>293586</v>
      </c>
      <c r="AQ30" s="1953">
        <f>SUM(AQ28:AQ29)</f>
        <v>284284</v>
      </c>
      <c r="AR30" s="1955">
        <f t="shared" si="7"/>
        <v>0.96831592787122001</v>
      </c>
      <c r="AS30" s="1953">
        <f>SUM(AS28:AS29)</f>
        <v>3463683</v>
      </c>
      <c r="AT30" s="1953">
        <f>SUM(AT28:AT29)</f>
        <v>3985537</v>
      </c>
      <c r="AU30" s="1953">
        <f>SUM(AU28:AU29)</f>
        <v>3672054</v>
      </c>
      <c r="AV30" s="1955">
        <f t="shared" si="9"/>
        <v>0.92134485265097277</v>
      </c>
      <c r="AW30" s="1947">
        <f>AS30-'[6]éves besz.bevételei2016'!BM30</f>
        <v>0</v>
      </c>
      <c r="AX30" s="1947">
        <f>AT30-'[6]éves besz.bevételei2016'!BN30</f>
        <v>0</v>
      </c>
      <c r="AY30" s="1947">
        <f>AU30-'[6]éves besz.bevételei2016'!BO30</f>
        <v>-8730</v>
      </c>
    </row>
    <row r="31" spans="1:51" s="1836" customFormat="1" ht="49.5" customHeight="1" x14ac:dyDescent="0.6">
      <c r="A31" s="1956" t="s">
        <v>1348</v>
      </c>
      <c r="B31" s="1950"/>
      <c r="C31" s="1950"/>
      <c r="D31" s="1950"/>
      <c r="E31" s="1950"/>
      <c r="F31" s="1950"/>
      <c r="G31" s="1950"/>
      <c r="H31" s="1950"/>
      <c r="I31" s="1950"/>
      <c r="J31" s="1950"/>
      <c r="K31" s="1950"/>
      <c r="L31" s="1950"/>
      <c r="M31" s="1950"/>
      <c r="N31" s="1956" t="s">
        <v>1348</v>
      </c>
      <c r="O31" s="1950"/>
      <c r="P31" s="1950"/>
      <c r="Q31" s="1950"/>
      <c r="R31" s="1950"/>
      <c r="S31" s="1950"/>
      <c r="T31" s="1950"/>
      <c r="U31" s="1950"/>
      <c r="V31" s="1950"/>
      <c r="W31" s="1950"/>
      <c r="X31" s="1950"/>
      <c r="Y31" s="1950"/>
      <c r="Z31" s="1950"/>
      <c r="AA31" s="1956" t="s">
        <v>1348</v>
      </c>
      <c r="AB31" s="1950"/>
      <c r="AC31" s="1950"/>
      <c r="AD31" s="1950"/>
      <c r="AE31" s="1950"/>
      <c r="AF31" s="1950"/>
      <c r="AG31" s="1950"/>
      <c r="AH31" s="1950"/>
      <c r="AI31" s="1950"/>
      <c r="AJ31" s="1950"/>
      <c r="AK31" s="1950"/>
      <c r="AL31" s="1950"/>
      <c r="AM31" s="1950"/>
      <c r="AN31" s="1956" t="s">
        <v>1348</v>
      </c>
      <c r="AO31" s="1950"/>
      <c r="AP31" s="1950"/>
      <c r="AQ31" s="1950"/>
      <c r="AR31" s="1950"/>
      <c r="AS31" s="1950"/>
      <c r="AT31" s="1950"/>
      <c r="AU31" s="1950"/>
      <c r="AV31" s="1950"/>
      <c r="AW31" s="1947">
        <f>AS31-'[6]éves besz.bevételei2016'!BM31</f>
        <v>0</v>
      </c>
      <c r="AX31" s="1947"/>
      <c r="AY31" s="1947">
        <f>AU31-'[6]éves besz.bevételei2016'!BO31</f>
        <v>0</v>
      </c>
    </row>
    <row r="32" spans="1:51" s="1836" customFormat="1" ht="49.5" customHeight="1" x14ac:dyDescent="0.6">
      <c r="A32" s="1957" t="s">
        <v>1129</v>
      </c>
      <c r="B32" s="1950"/>
      <c r="C32" s="1950"/>
      <c r="D32" s="1950"/>
      <c r="E32" s="1950"/>
      <c r="F32" s="1950"/>
      <c r="G32" s="1950"/>
      <c r="H32" s="1950"/>
      <c r="I32" s="1950"/>
      <c r="J32" s="1950"/>
      <c r="K32" s="1950"/>
      <c r="L32" s="1950"/>
      <c r="M32" s="1950"/>
      <c r="N32" s="1957" t="s">
        <v>1129</v>
      </c>
      <c r="O32" s="1950"/>
      <c r="P32" s="1950"/>
      <c r="Q32" s="1950"/>
      <c r="R32" s="1950"/>
      <c r="S32" s="1950"/>
      <c r="T32" s="1950"/>
      <c r="U32" s="1950"/>
      <c r="V32" s="1950"/>
      <c r="W32" s="1950"/>
      <c r="X32" s="1950"/>
      <c r="Y32" s="1950"/>
      <c r="Z32" s="1950"/>
      <c r="AA32" s="1957" t="s">
        <v>1129</v>
      </c>
      <c r="AB32" s="1950"/>
      <c r="AC32" s="1950"/>
      <c r="AD32" s="1950"/>
      <c r="AE32" s="1950"/>
      <c r="AF32" s="1950"/>
      <c r="AG32" s="1950"/>
      <c r="AH32" s="1950"/>
      <c r="AI32" s="1950"/>
      <c r="AJ32" s="1950"/>
      <c r="AK32" s="1950"/>
      <c r="AL32" s="1950"/>
      <c r="AM32" s="1950"/>
      <c r="AN32" s="1957" t="s">
        <v>1129</v>
      </c>
      <c r="AO32" s="1950"/>
      <c r="AP32" s="1950"/>
      <c r="AQ32" s="1950"/>
      <c r="AR32" s="1950"/>
      <c r="AS32" s="1950"/>
      <c r="AT32" s="1950"/>
      <c r="AU32" s="1950"/>
      <c r="AV32" s="1950"/>
      <c r="AW32" s="1947">
        <f>AS32-'[6]éves besz.bevételei2016'!BM32</f>
        <v>0</v>
      </c>
      <c r="AX32" s="1947"/>
      <c r="AY32" s="1947">
        <f>AU32-'[6]éves besz.bevételei2016'!BO32</f>
        <v>0</v>
      </c>
    </row>
    <row r="33" spans="1:51" s="1836" customFormat="1" ht="49.5" customHeight="1" x14ac:dyDescent="0.6">
      <c r="A33" s="1958" t="s">
        <v>1194</v>
      </c>
      <c r="B33" s="1950">
        <f>[4]int.kiadások2016!B32</f>
        <v>83006</v>
      </c>
      <c r="C33" s="1947">
        <f>'[5]int.kiadások RM V '!D33</f>
        <v>94922</v>
      </c>
      <c r="D33" s="1950">
        <v>89818</v>
      </c>
      <c r="E33" s="1948">
        <f t="shared" ref="E33:E38" si="11">D33/C33</f>
        <v>0.94622953582941782</v>
      </c>
      <c r="F33" s="1950">
        <f>[4]int.kiadások2016!C32</f>
        <v>24139</v>
      </c>
      <c r="G33" s="1947">
        <f>'[5]int.kiadások RM V '!G33</f>
        <v>27480</v>
      </c>
      <c r="H33" s="1950">
        <v>25708</v>
      </c>
      <c r="I33" s="1948">
        <f t="shared" ref="I33:I38" si="12">H33/G33</f>
        <v>0.93551673944687042</v>
      </c>
      <c r="J33" s="1950">
        <f>[4]int.kiadások2016!D32</f>
        <v>246492</v>
      </c>
      <c r="K33" s="1947">
        <f>'[5]int.kiadások RM V '!J33</f>
        <v>381489</v>
      </c>
      <c r="L33" s="1950">
        <v>362999</v>
      </c>
      <c r="M33" s="1948">
        <f t="shared" ref="M33:M38" si="13">L33/K33</f>
        <v>0.95153202320381458</v>
      </c>
      <c r="N33" s="1958" t="s">
        <v>1194</v>
      </c>
      <c r="O33" s="1950"/>
      <c r="P33" s="1947"/>
      <c r="Q33" s="1950"/>
      <c r="R33" s="1948"/>
      <c r="S33" s="1950"/>
      <c r="T33" s="1950"/>
      <c r="U33" s="1950"/>
      <c r="V33" s="1948"/>
      <c r="W33" s="1947">
        <f t="shared" ref="W33:Y37" si="14">B33+F33+J33+O33+S33</f>
        <v>353637</v>
      </c>
      <c r="X33" s="1947">
        <f t="shared" si="14"/>
        <v>503891</v>
      </c>
      <c r="Y33" s="1947">
        <f t="shared" si="14"/>
        <v>478525</v>
      </c>
      <c r="Z33" s="1948">
        <f t="shared" ref="Z33:Z38" si="15">Y33/X33</f>
        <v>0.94965974784229124</v>
      </c>
      <c r="AA33" s="1958" t="s">
        <v>1194</v>
      </c>
      <c r="AB33" s="1950"/>
      <c r="AC33" s="1947">
        <f>'[5]int.kiadások RM V '!X33</f>
        <v>35462</v>
      </c>
      <c r="AD33" s="1950">
        <v>20425</v>
      </c>
      <c r="AE33" s="1948">
        <f t="shared" ref="AE33:AE38" si="16">AD33/AC33</f>
        <v>0.57596864249055324</v>
      </c>
      <c r="AF33" s="1950"/>
      <c r="AG33" s="1947">
        <f>'[5]int.kiadások RM V '!AA33</f>
        <v>1016</v>
      </c>
      <c r="AH33" s="1950">
        <v>999</v>
      </c>
      <c r="AI33" s="1948">
        <f>AH33/AG33</f>
        <v>0.9832677165354331</v>
      </c>
      <c r="AJ33" s="1950"/>
      <c r="AK33" s="1950"/>
      <c r="AL33" s="1950"/>
      <c r="AM33" s="1948"/>
      <c r="AN33" s="1958" t="s">
        <v>1194</v>
      </c>
      <c r="AO33" s="1947">
        <f t="shared" ref="AO33:AQ37" si="17">AB33+AF33+AJ33</f>
        <v>0</v>
      </c>
      <c r="AP33" s="1947">
        <f t="shared" si="17"/>
        <v>36478</v>
      </c>
      <c r="AQ33" s="1947">
        <f t="shared" si="17"/>
        <v>21424</v>
      </c>
      <c r="AR33" s="1948">
        <f t="shared" ref="AR33:AR38" si="18">AQ33/AP33</f>
        <v>0.58731290092658583</v>
      </c>
      <c r="AS33" s="1947">
        <f t="shared" ref="AS33:AU37" si="19">W33+AO33</f>
        <v>353637</v>
      </c>
      <c r="AT33" s="1947">
        <f t="shared" si="19"/>
        <v>540369</v>
      </c>
      <c r="AU33" s="1947">
        <f>Y33+AQ33</f>
        <v>499949</v>
      </c>
      <c r="AV33" s="1948">
        <f t="shared" ref="AV33:AV38" si="20">AU33/AT33</f>
        <v>0.92519926198579117</v>
      </c>
      <c r="AW33" s="1947">
        <f>AS33-'[6]éves besz.bevételei2016'!BM33</f>
        <v>0</v>
      </c>
      <c r="AX33" s="1947">
        <f>AT33-'[6]éves besz.bevételei2016'!BN33</f>
        <v>0</v>
      </c>
      <c r="AY33" s="1947">
        <f>AU33-'[6]éves besz.bevételei2016'!BO33</f>
        <v>-34318</v>
      </c>
    </row>
    <row r="34" spans="1:51" s="1836" customFormat="1" ht="49.5" customHeight="1" x14ac:dyDescent="0.6">
      <c r="A34" s="1959" t="s">
        <v>473</v>
      </c>
      <c r="B34" s="1960">
        <f>[4]int.kiadások2016!B33</f>
        <v>54878</v>
      </c>
      <c r="C34" s="1947">
        <f>'[5]int.kiadások RM V '!D34</f>
        <v>56097</v>
      </c>
      <c r="D34" s="1960">
        <v>53885</v>
      </c>
      <c r="E34" s="1948">
        <f t="shared" si="11"/>
        <v>0.96056830133518722</v>
      </c>
      <c r="F34" s="1960">
        <f>[4]int.kiadások2016!C33</f>
        <v>16029</v>
      </c>
      <c r="G34" s="1947">
        <f>'[5]int.kiadások RM V '!G34</f>
        <v>16739</v>
      </c>
      <c r="H34" s="1960">
        <v>13834</v>
      </c>
      <c r="I34" s="1948">
        <f t="shared" si="12"/>
        <v>0.82645319314176469</v>
      </c>
      <c r="J34" s="1960">
        <f>[4]int.kiadások2016!D33</f>
        <v>37647</v>
      </c>
      <c r="K34" s="1947">
        <f>'[5]int.kiadások RM V '!J34</f>
        <v>84905</v>
      </c>
      <c r="L34" s="1960">
        <v>62101</v>
      </c>
      <c r="M34" s="1948">
        <f t="shared" si="13"/>
        <v>0.73141746658029561</v>
      </c>
      <c r="N34" s="1959" t="s">
        <v>473</v>
      </c>
      <c r="O34" s="1960"/>
      <c r="P34" s="1947"/>
      <c r="Q34" s="1960"/>
      <c r="R34" s="1948"/>
      <c r="S34" s="1960"/>
      <c r="T34" s="1960"/>
      <c r="U34" s="1960"/>
      <c r="V34" s="1948"/>
      <c r="W34" s="1947">
        <f t="shared" si="14"/>
        <v>108554</v>
      </c>
      <c r="X34" s="1947">
        <f t="shared" si="14"/>
        <v>157741</v>
      </c>
      <c r="Y34" s="1947">
        <f t="shared" si="14"/>
        <v>129820</v>
      </c>
      <c r="Z34" s="1948">
        <f t="shared" si="15"/>
        <v>0.8229946557965272</v>
      </c>
      <c r="AA34" s="1959" t="s">
        <v>473</v>
      </c>
      <c r="AB34" s="1960"/>
      <c r="AC34" s="1947">
        <f>'[5]int.kiadások RM V '!X34</f>
        <v>3937</v>
      </c>
      <c r="AD34" s="1960">
        <v>3835</v>
      </c>
      <c r="AE34" s="1948">
        <f t="shared" si="16"/>
        <v>0.97409194818389633</v>
      </c>
      <c r="AF34" s="1960"/>
      <c r="AG34" s="1947"/>
      <c r="AH34" s="1960"/>
      <c r="AI34" s="1948"/>
      <c r="AJ34" s="1960"/>
      <c r="AK34" s="1960"/>
      <c r="AL34" s="1960"/>
      <c r="AM34" s="1948"/>
      <c r="AN34" s="1959" t="s">
        <v>473</v>
      </c>
      <c r="AO34" s="1947">
        <f t="shared" si="17"/>
        <v>0</v>
      </c>
      <c r="AP34" s="1947">
        <f t="shared" si="17"/>
        <v>3937</v>
      </c>
      <c r="AQ34" s="1947">
        <f t="shared" si="17"/>
        <v>3835</v>
      </c>
      <c r="AR34" s="1948">
        <f t="shared" si="18"/>
        <v>0.97409194818389633</v>
      </c>
      <c r="AS34" s="1947">
        <f t="shared" si="19"/>
        <v>108554</v>
      </c>
      <c r="AT34" s="1947">
        <f t="shared" si="19"/>
        <v>161678</v>
      </c>
      <c r="AU34" s="1947">
        <f>Y34+AQ34</f>
        <v>133655</v>
      </c>
      <c r="AV34" s="1948">
        <f t="shared" si="20"/>
        <v>0.82667400635831711</v>
      </c>
      <c r="AW34" s="1947">
        <f>AS34-'[6]éves besz.bevételei2016'!BM34</f>
        <v>0</v>
      </c>
      <c r="AX34" s="1947">
        <f>AT34-'[6]éves besz.bevételei2016'!BN34</f>
        <v>0</v>
      </c>
      <c r="AY34" s="1947">
        <f>AU34-'[6]éves besz.bevételei2016'!BO34</f>
        <v>-911</v>
      </c>
    </row>
    <row r="35" spans="1:51" s="1836" customFormat="1" ht="49.5" customHeight="1" x14ac:dyDescent="0.6">
      <c r="A35" s="1959" t="s">
        <v>1132</v>
      </c>
      <c r="B35" s="1960">
        <f>[4]int.kiadások2016!B34</f>
        <v>210986</v>
      </c>
      <c r="C35" s="1947">
        <f>'[5]int.kiadások RM V '!D35</f>
        <v>225335</v>
      </c>
      <c r="D35" s="1960">
        <v>207497</v>
      </c>
      <c r="E35" s="1948">
        <f t="shared" si="11"/>
        <v>0.92083786362526909</v>
      </c>
      <c r="F35" s="1960">
        <f>[4]int.kiadások2016!C34</f>
        <v>55499</v>
      </c>
      <c r="G35" s="1947">
        <f>'[5]int.kiadások RM V '!G35</f>
        <v>59151</v>
      </c>
      <c r="H35" s="1960">
        <v>53880</v>
      </c>
      <c r="I35" s="1948">
        <f t="shared" si="12"/>
        <v>0.91088908048891815</v>
      </c>
      <c r="J35" s="1960">
        <f>[4]int.kiadások2016!D34</f>
        <v>116325</v>
      </c>
      <c r="K35" s="1947">
        <f>'[5]int.kiadások RM V '!J35</f>
        <v>195837</v>
      </c>
      <c r="L35" s="1960">
        <v>148638</v>
      </c>
      <c r="M35" s="1948">
        <f t="shared" si="13"/>
        <v>0.75898834234593049</v>
      </c>
      <c r="N35" s="1959" t="s">
        <v>1132</v>
      </c>
      <c r="O35" s="1960"/>
      <c r="P35" s="1947"/>
      <c r="Q35" s="1960"/>
      <c r="R35" s="1948"/>
      <c r="S35" s="1960"/>
      <c r="T35" s="1960">
        <f>'[5]int.kiadások RM V '!$Q$35</f>
        <v>35</v>
      </c>
      <c r="U35" s="1960">
        <v>35</v>
      </c>
      <c r="V35" s="1948">
        <f>U35/T35</f>
        <v>1</v>
      </c>
      <c r="W35" s="1947">
        <f t="shared" si="14"/>
        <v>382810</v>
      </c>
      <c r="X35" s="1947">
        <f t="shared" si="14"/>
        <v>480358</v>
      </c>
      <c r="Y35" s="1947">
        <f t="shared" si="14"/>
        <v>410050</v>
      </c>
      <c r="Z35" s="1948">
        <f t="shared" si="15"/>
        <v>0.8536341645189629</v>
      </c>
      <c r="AA35" s="1959" t="s">
        <v>1132</v>
      </c>
      <c r="AB35" s="1960"/>
      <c r="AC35" s="1947">
        <f>'[5]int.kiadások RM V '!X35</f>
        <v>26151</v>
      </c>
      <c r="AD35" s="1960">
        <v>17473</v>
      </c>
      <c r="AE35" s="1948">
        <f t="shared" si="16"/>
        <v>0.6681580054300027</v>
      </c>
      <c r="AF35" s="1960">
        <f>[4]int.kiadások2016!$J$34</f>
        <v>2500</v>
      </c>
      <c r="AG35" s="1947"/>
      <c r="AH35" s="1960"/>
      <c r="AI35" s="1948"/>
      <c r="AJ35" s="1960">
        <f>[4]int.kiadások2016!$K$34</f>
        <v>12500</v>
      </c>
      <c r="AK35" s="1960"/>
      <c r="AL35" s="1960"/>
      <c r="AM35" s="1948"/>
      <c r="AN35" s="1959" t="s">
        <v>1132</v>
      </c>
      <c r="AO35" s="1947">
        <f t="shared" si="17"/>
        <v>15000</v>
      </c>
      <c r="AP35" s="1947">
        <f t="shared" si="17"/>
        <v>26151</v>
      </c>
      <c r="AQ35" s="1947">
        <f t="shared" si="17"/>
        <v>17473</v>
      </c>
      <c r="AR35" s="1948">
        <f t="shared" si="18"/>
        <v>0.6681580054300027</v>
      </c>
      <c r="AS35" s="1947">
        <f t="shared" si="19"/>
        <v>397810</v>
      </c>
      <c r="AT35" s="1947">
        <f t="shared" si="19"/>
        <v>506509</v>
      </c>
      <c r="AU35" s="1947">
        <f t="shared" si="19"/>
        <v>427523</v>
      </c>
      <c r="AV35" s="1948">
        <f t="shared" si="20"/>
        <v>0.84405805227547781</v>
      </c>
      <c r="AW35" s="1947">
        <f>AS35-'[6]éves besz.bevételei2016'!BM35</f>
        <v>0</v>
      </c>
      <c r="AX35" s="1947">
        <f>AT35-'[6]éves besz.bevételei2016'!BN35</f>
        <v>0</v>
      </c>
      <c r="AY35" s="1947">
        <f>AU35-'[6]éves besz.bevételei2016'!BO35</f>
        <v>-168</v>
      </c>
    </row>
    <row r="36" spans="1:51" s="1836" customFormat="1" ht="49.5" customHeight="1" x14ac:dyDescent="0.6">
      <c r="A36" s="1959" t="s">
        <v>1134</v>
      </c>
      <c r="B36" s="1960">
        <f>[4]int.kiadások2016!B35</f>
        <v>105084</v>
      </c>
      <c r="C36" s="1947">
        <f>'[5]int.kiadások RM V '!D36</f>
        <v>156213</v>
      </c>
      <c r="D36" s="1960">
        <v>137237</v>
      </c>
      <c r="E36" s="1948">
        <f t="shared" si="11"/>
        <v>0.87852483468085241</v>
      </c>
      <c r="F36" s="1960">
        <f>[4]int.kiadások2016!C35</f>
        <v>27817</v>
      </c>
      <c r="G36" s="1947">
        <f>'[5]int.kiadások RM V '!G36</f>
        <v>41153</v>
      </c>
      <c r="H36" s="1960">
        <v>36621</v>
      </c>
      <c r="I36" s="1948">
        <f t="shared" si="12"/>
        <v>0.88987437124875468</v>
      </c>
      <c r="J36" s="1960">
        <f>[4]int.kiadások2016!D35</f>
        <v>62130</v>
      </c>
      <c r="K36" s="1947">
        <f>'[5]int.kiadások RM V '!J36</f>
        <v>188911</v>
      </c>
      <c r="L36" s="1960">
        <v>171071</v>
      </c>
      <c r="M36" s="1948">
        <f t="shared" si="13"/>
        <v>0.90556399574402757</v>
      </c>
      <c r="N36" s="1959" t="s">
        <v>1134</v>
      </c>
      <c r="O36" s="1960"/>
      <c r="P36" s="1947"/>
      <c r="Q36" s="1960"/>
      <c r="R36" s="1948"/>
      <c r="S36" s="1960"/>
      <c r="T36" s="1960"/>
      <c r="U36" s="1960"/>
      <c r="V36" s="1948"/>
      <c r="W36" s="1947">
        <f t="shared" si="14"/>
        <v>195031</v>
      </c>
      <c r="X36" s="1947">
        <f t="shared" si="14"/>
        <v>386277</v>
      </c>
      <c r="Y36" s="1947">
        <f t="shared" si="14"/>
        <v>344929</v>
      </c>
      <c r="Z36" s="1948">
        <f t="shared" si="15"/>
        <v>0.89295764438472913</v>
      </c>
      <c r="AA36" s="1959" t="s">
        <v>1134</v>
      </c>
      <c r="AB36" s="1960"/>
      <c r="AC36" s="1947">
        <f>'[5]int.kiadások RM V '!X36</f>
        <v>16266</v>
      </c>
      <c r="AD36" s="1960">
        <v>14259</v>
      </c>
      <c r="AE36" s="1948">
        <f t="shared" si="16"/>
        <v>0.87661379564736264</v>
      </c>
      <c r="AF36" s="1960"/>
      <c r="AG36" s="1947"/>
      <c r="AH36" s="1960"/>
      <c r="AI36" s="1948"/>
      <c r="AJ36" s="1960"/>
      <c r="AK36" s="1960"/>
      <c r="AL36" s="1960"/>
      <c r="AM36" s="1948"/>
      <c r="AN36" s="1959" t="s">
        <v>1134</v>
      </c>
      <c r="AO36" s="1947">
        <f t="shared" si="17"/>
        <v>0</v>
      </c>
      <c r="AP36" s="1947">
        <f t="shared" si="17"/>
        <v>16266</v>
      </c>
      <c r="AQ36" s="1947">
        <f t="shared" si="17"/>
        <v>14259</v>
      </c>
      <c r="AR36" s="1948">
        <f t="shared" si="18"/>
        <v>0.87661379564736264</v>
      </c>
      <c r="AS36" s="1947">
        <f t="shared" si="19"/>
        <v>195031</v>
      </c>
      <c r="AT36" s="1947">
        <f t="shared" si="19"/>
        <v>402543</v>
      </c>
      <c r="AU36" s="1947">
        <f>Y36+AQ36</f>
        <v>359188</v>
      </c>
      <c r="AV36" s="1948">
        <f t="shared" si="20"/>
        <v>0.89229722042117243</v>
      </c>
      <c r="AW36" s="1947">
        <f>AS36-'[6]éves besz.bevételei2016'!BM36</f>
        <v>0</v>
      </c>
      <c r="AX36" s="1947">
        <f>AT36-'[6]éves besz.bevételei2016'!BN36</f>
        <v>0</v>
      </c>
      <c r="AY36" s="1947">
        <f>AU36-'[6]éves besz.bevételei2016'!BO36</f>
        <v>-31480</v>
      </c>
    </row>
    <row r="37" spans="1:51" s="1836" customFormat="1" ht="49.5" customHeight="1" thickBot="1" x14ac:dyDescent="0.65">
      <c r="A37" s="1961" t="s">
        <v>1135</v>
      </c>
      <c r="B37" s="1960">
        <f>[4]int.kiadások2016!B36</f>
        <v>255203</v>
      </c>
      <c r="C37" s="1947">
        <f>'[5]int.kiadások RM V '!D37</f>
        <v>255745</v>
      </c>
      <c r="D37" s="1960">
        <v>247116</v>
      </c>
      <c r="E37" s="1951">
        <f t="shared" si="11"/>
        <v>0.96625935990928469</v>
      </c>
      <c r="F37" s="1960">
        <f>[4]int.kiadások2016!C36</f>
        <v>72531</v>
      </c>
      <c r="G37" s="1947">
        <f>'[5]int.kiadások RM V '!G37</f>
        <v>72662</v>
      </c>
      <c r="H37" s="1960">
        <v>70635</v>
      </c>
      <c r="I37" s="1951">
        <f t="shared" si="12"/>
        <v>0.97210371308249155</v>
      </c>
      <c r="J37" s="1960">
        <f>[4]int.kiadások2016!D36</f>
        <v>155112</v>
      </c>
      <c r="K37" s="1947">
        <f>'[5]int.kiadások RM V '!J37</f>
        <v>220446</v>
      </c>
      <c r="L37" s="1960">
        <v>194297</v>
      </c>
      <c r="M37" s="1951">
        <f t="shared" si="13"/>
        <v>0.88138138138138133</v>
      </c>
      <c r="N37" s="1961" t="s">
        <v>1135</v>
      </c>
      <c r="O37" s="1960"/>
      <c r="P37" s="1947"/>
      <c r="Q37" s="1960"/>
      <c r="R37" s="1951"/>
      <c r="S37" s="1960">
        <f>[4]int.kiadások2016!$F$36</f>
        <v>126</v>
      </c>
      <c r="T37" s="1960">
        <f>'[5]int.kiadások RM V '!$Q$37</f>
        <v>5134</v>
      </c>
      <c r="U37" s="1960">
        <v>3909</v>
      </c>
      <c r="V37" s="1951">
        <f>U37/T37</f>
        <v>0.76139462407479552</v>
      </c>
      <c r="W37" s="1947">
        <f t="shared" si="14"/>
        <v>482972</v>
      </c>
      <c r="X37" s="1947">
        <f t="shared" si="14"/>
        <v>553987</v>
      </c>
      <c r="Y37" s="1947">
        <f t="shared" si="14"/>
        <v>515957</v>
      </c>
      <c r="Z37" s="1951">
        <f t="shared" si="15"/>
        <v>0.93135217974429008</v>
      </c>
      <c r="AA37" s="1961" t="s">
        <v>1135</v>
      </c>
      <c r="AB37" s="1960"/>
      <c r="AC37" s="1947">
        <f>'[5]int.kiadások RM V '!X37</f>
        <v>54173</v>
      </c>
      <c r="AD37" s="1960">
        <v>54172</v>
      </c>
      <c r="AE37" s="1951">
        <f t="shared" si="16"/>
        <v>0.99998154061986599</v>
      </c>
      <c r="AF37" s="1960"/>
      <c r="AG37" s="1947">
        <f>'[5]int.kiadások RM V '!AA37</f>
        <v>5473</v>
      </c>
      <c r="AH37" s="1960">
        <v>4494</v>
      </c>
      <c r="AI37" s="1951">
        <f>AH37/AG37</f>
        <v>0.82112187100310619</v>
      </c>
      <c r="AJ37" s="1960"/>
      <c r="AK37" s="1960"/>
      <c r="AL37" s="1960"/>
      <c r="AM37" s="1951"/>
      <c r="AN37" s="1961" t="s">
        <v>1135</v>
      </c>
      <c r="AO37" s="1947">
        <f t="shared" si="17"/>
        <v>0</v>
      </c>
      <c r="AP37" s="1947">
        <f t="shared" si="17"/>
        <v>59646</v>
      </c>
      <c r="AQ37" s="1947">
        <f t="shared" si="17"/>
        <v>58666</v>
      </c>
      <c r="AR37" s="1951">
        <f t="shared" si="18"/>
        <v>0.98356972806223386</v>
      </c>
      <c r="AS37" s="1947">
        <f t="shared" si="19"/>
        <v>482972</v>
      </c>
      <c r="AT37" s="1947">
        <f t="shared" si="19"/>
        <v>613633</v>
      </c>
      <c r="AU37" s="1947">
        <f t="shared" si="19"/>
        <v>574623</v>
      </c>
      <c r="AV37" s="1951">
        <f t="shared" si="20"/>
        <v>0.93642779967830936</v>
      </c>
      <c r="AW37" s="1947">
        <f>AS37-'[6]éves besz.bevételei2016'!BM37</f>
        <v>0</v>
      </c>
      <c r="AX37" s="1947">
        <f>AT37-'[6]éves besz.bevételei2016'!BN37</f>
        <v>0</v>
      </c>
      <c r="AY37" s="1947">
        <f>AU37-'[6]éves besz.bevételei2016'!BO37</f>
        <v>-20216</v>
      </c>
    </row>
    <row r="38" spans="1:51" s="1836" customFormat="1" ht="49.5" customHeight="1" thickBot="1" x14ac:dyDescent="0.65">
      <c r="A38" s="1962" t="s">
        <v>1349</v>
      </c>
      <c r="B38" s="1953">
        <f>SUM(B33:B37)</f>
        <v>709157</v>
      </c>
      <c r="C38" s="1953">
        <f>SUM(C33:C37)</f>
        <v>788312</v>
      </c>
      <c r="D38" s="1953">
        <f>SUM(D33:D37)</f>
        <v>735553</v>
      </c>
      <c r="E38" s="1954">
        <f t="shared" si="11"/>
        <v>0.93307345315052925</v>
      </c>
      <c r="F38" s="1953">
        <f>SUM(F33:F37)</f>
        <v>196015</v>
      </c>
      <c r="G38" s="1953">
        <f>SUM(G33:G37)</f>
        <v>217185</v>
      </c>
      <c r="H38" s="1953">
        <f>SUM(H33:H37)</f>
        <v>200678</v>
      </c>
      <c r="I38" s="1954">
        <f t="shared" si="12"/>
        <v>0.9239956718926261</v>
      </c>
      <c r="J38" s="1953">
        <f>SUM(J33:J37)</f>
        <v>617706</v>
      </c>
      <c r="K38" s="1953">
        <f>SUM(K33:K37)</f>
        <v>1071588</v>
      </c>
      <c r="L38" s="1953">
        <f>SUM(L33:L37)</f>
        <v>939106</v>
      </c>
      <c r="M38" s="1954">
        <f t="shared" si="13"/>
        <v>0.87636852969611456</v>
      </c>
      <c r="N38" s="1962" t="s">
        <v>1349</v>
      </c>
      <c r="O38" s="1953">
        <f>SUM(O33:O37)</f>
        <v>0</v>
      </c>
      <c r="P38" s="1953">
        <f>SUM(P33:P37)</f>
        <v>0</v>
      </c>
      <c r="Q38" s="1953">
        <f>SUM(Q33:Q37)</f>
        <v>0</v>
      </c>
      <c r="R38" s="1954"/>
      <c r="S38" s="1953">
        <f>SUM(S33:S37)</f>
        <v>126</v>
      </c>
      <c r="T38" s="1953">
        <f>SUM(T33:T37)</f>
        <v>5169</v>
      </c>
      <c r="U38" s="1953">
        <f>SUM(U33:U37)</f>
        <v>3944</v>
      </c>
      <c r="V38" s="1954">
        <f>U38/T38</f>
        <v>0.76301025343393303</v>
      </c>
      <c r="W38" s="1953">
        <f>SUM(W33:W37)</f>
        <v>1523004</v>
      </c>
      <c r="X38" s="1953">
        <f>SUM(X33:X37)</f>
        <v>2082254</v>
      </c>
      <c r="Y38" s="1953">
        <f>SUM(Y33:Y37)</f>
        <v>1879281</v>
      </c>
      <c r="Z38" s="1954">
        <f t="shared" si="15"/>
        <v>0.90252245883547344</v>
      </c>
      <c r="AA38" s="1962" t="s">
        <v>1349</v>
      </c>
      <c r="AB38" s="1953">
        <f>SUM(AB33:AB37)</f>
        <v>0</v>
      </c>
      <c r="AC38" s="1953">
        <f>SUM(AC33:AC37)</f>
        <v>135989</v>
      </c>
      <c r="AD38" s="1953">
        <f>SUM(AD33:AD37)</f>
        <v>110164</v>
      </c>
      <c r="AE38" s="1954">
        <f t="shared" si="16"/>
        <v>0.81009493414908562</v>
      </c>
      <c r="AF38" s="1953">
        <f>SUM(AF33:AF37)</f>
        <v>2500</v>
      </c>
      <c r="AG38" s="1953">
        <f>SUM(AG33:AG37)</f>
        <v>6489</v>
      </c>
      <c r="AH38" s="1953">
        <f>SUM(AH33:AH37)</f>
        <v>5493</v>
      </c>
      <c r="AI38" s="1954">
        <f>AH38/AG38</f>
        <v>0.84650947757743877</v>
      </c>
      <c r="AJ38" s="1953">
        <f>SUM(AJ33:AJ37)</f>
        <v>12500</v>
      </c>
      <c r="AK38" s="1953">
        <f>SUM(AK33:AK37)</f>
        <v>0</v>
      </c>
      <c r="AL38" s="1953">
        <f>SUM(AL33:AL37)</f>
        <v>0</v>
      </c>
      <c r="AM38" s="1954"/>
      <c r="AN38" s="1962" t="s">
        <v>1349</v>
      </c>
      <c r="AO38" s="1953">
        <f>SUM(AO33:AO37)</f>
        <v>15000</v>
      </c>
      <c r="AP38" s="1953">
        <f>SUM(AP33:AP37)</f>
        <v>142478</v>
      </c>
      <c r="AQ38" s="1953">
        <f>SUM(AQ33:AQ37)</f>
        <v>115657</v>
      </c>
      <c r="AR38" s="1954">
        <f t="shared" si="18"/>
        <v>0.81175339350636588</v>
      </c>
      <c r="AS38" s="1953">
        <f>SUM(AS33:AS37)</f>
        <v>1538004</v>
      </c>
      <c r="AT38" s="1953">
        <f>SUM(AT33:AT37)</f>
        <v>2224732</v>
      </c>
      <c r="AU38" s="1953">
        <f>SUM(AU33:AU37)</f>
        <v>1994938</v>
      </c>
      <c r="AV38" s="1954">
        <f t="shared" si="20"/>
        <v>0.89670935645282224</v>
      </c>
      <c r="AW38" s="1947">
        <f>AS38-'[6]éves besz.bevételei2016'!BM38</f>
        <v>0</v>
      </c>
      <c r="AX38" s="1947">
        <f>AT38-'[6]éves besz.bevételei2016'!BN38</f>
        <v>0</v>
      </c>
      <c r="AY38" s="1947">
        <f>AU38-'[6]éves besz.bevételei2016'!BO38</f>
        <v>-87093</v>
      </c>
    </row>
    <row r="39" spans="1:51" s="1836" customFormat="1" ht="49.5" customHeight="1" x14ac:dyDescent="0.6">
      <c r="A39" s="1963" t="s">
        <v>1350</v>
      </c>
      <c r="B39" s="1834"/>
      <c r="C39" s="1834"/>
      <c r="D39" s="1834"/>
      <c r="E39" s="1834"/>
      <c r="F39" s="1834"/>
      <c r="G39" s="1834"/>
      <c r="H39" s="1834"/>
      <c r="I39" s="1834"/>
      <c r="J39" s="1834"/>
      <c r="K39" s="1834"/>
      <c r="L39" s="1834"/>
      <c r="M39" s="1834"/>
      <c r="N39" s="1963" t="s">
        <v>1350</v>
      </c>
      <c r="O39" s="1834"/>
      <c r="P39" s="1834"/>
      <c r="Q39" s="1834"/>
      <c r="R39" s="1834"/>
      <c r="S39" s="1834"/>
      <c r="T39" s="1834"/>
      <c r="U39" s="1834"/>
      <c r="V39" s="1834"/>
      <c r="W39" s="1834"/>
      <c r="X39" s="1834"/>
      <c r="Y39" s="1834"/>
      <c r="Z39" s="1834"/>
      <c r="AA39" s="1963" t="s">
        <v>1350</v>
      </c>
      <c r="AB39" s="1834"/>
      <c r="AC39" s="1834"/>
      <c r="AD39" s="1834"/>
      <c r="AE39" s="1834"/>
      <c r="AF39" s="1834"/>
      <c r="AG39" s="1834"/>
      <c r="AH39" s="1834"/>
      <c r="AI39" s="1834"/>
      <c r="AJ39" s="1834"/>
      <c r="AK39" s="1834"/>
      <c r="AL39" s="1834"/>
      <c r="AM39" s="1834"/>
      <c r="AN39" s="1963" t="s">
        <v>1350</v>
      </c>
      <c r="AO39" s="1834"/>
      <c r="AP39" s="1834"/>
      <c r="AQ39" s="1834"/>
      <c r="AR39" s="1834"/>
      <c r="AS39" s="1834"/>
      <c r="AT39" s="1834"/>
      <c r="AU39" s="1834"/>
      <c r="AV39" s="1834"/>
      <c r="AW39" s="1947">
        <f>AS39-'[6]éves besz.bevételei2016'!BM39</f>
        <v>0</v>
      </c>
      <c r="AX39" s="1947"/>
      <c r="AY39" s="1947">
        <f>AU39-'[6]éves besz.bevételei2016'!BO39</f>
        <v>0</v>
      </c>
    </row>
    <row r="40" spans="1:51" s="1836" customFormat="1" ht="49.5" customHeight="1" x14ac:dyDescent="0.6">
      <c r="A40" s="1958" t="s">
        <v>1351</v>
      </c>
      <c r="B40" s="1964">
        <f>[4]int.kiadások2016!B39</f>
        <v>38725</v>
      </c>
      <c r="C40" s="1947">
        <f>'[5]int.kiadások RM V '!D40</f>
        <v>39628</v>
      </c>
      <c r="D40" s="1964">
        <v>33067</v>
      </c>
      <c r="E40" s="1951">
        <f>D40/C40</f>
        <v>0.83443524780458267</v>
      </c>
      <c r="F40" s="1964">
        <f>[4]int.kiadások2016!C39</f>
        <v>10719</v>
      </c>
      <c r="G40" s="1947">
        <f>'[5]int.kiadások RM V '!G40</f>
        <v>11019</v>
      </c>
      <c r="H40" s="1964">
        <v>8897</v>
      </c>
      <c r="I40" s="1948">
        <f>H40/G40</f>
        <v>0.80742354115618475</v>
      </c>
      <c r="J40" s="1964">
        <f>[4]int.kiadások2016!D39</f>
        <v>55767</v>
      </c>
      <c r="K40" s="1947">
        <f>'[5]int.kiadások RM V '!J40</f>
        <v>69898</v>
      </c>
      <c r="L40" s="1964">
        <v>51316</v>
      </c>
      <c r="M40" s="1951">
        <f>L40/K40</f>
        <v>0.73415548370482708</v>
      </c>
      <c r="N40" s="1958" t="s">
        <v>1351</v>
      </c>
      <c r="O40" s="1964"/>
      <c r="P40" s="1947"/>
      <c r="Q40" s="1964"/>
      <c r="R40" s="1951"/>
      <c r="S40" s="1964">
        <f>[4]int.kiadások2016!$F$39</f>
        <v>30383</v>
      </c>
      <c r="T40" s="1964">
        <f>'[5]int.kiadások RM V '!$Q$40</f>
        <v>53662</v>
      </c>
      <c r="U40" s="1964">
        <v>53662</v>
      </c>
      <c r="V40" s="1951">
        <f>U40/T40</f>
        <v>1</v>
      </c>
      <c r="W40" s="1947">
        <f>B40+F40+J40+O40+S40</f>
        <v>135594</v>
      </c>
      <c r="X40" s="1947">
        <f>C40+G40+K40+P40+T40</f>
        <v>174207</v>
      </c>
      <c r="Y40" s="1947">
        <f>D40+H40+L40+Q40+U40</f>
        <v>146942</v>
      </c>
      <c r="Z40" s="1951">
        <f>Y40/X40</f>
        <v>0.84349078969272184</v>
      </c>
      <c r="AA40" s="1958" t="s">
        <v>1351</v>
      </c>
      <c r="AB40" s="1964">
        <f>[4]int.kiadások2016!I39</f>
        <v>7300</v>
      </c>
      <c r="AC40" s="1947">
        <f>'[5]int.kiadások RM V '!X40</f>
        <v>9300</v>
      </c>
      <c r="AD40" s="1964">
        <v>7096</v>
      </c>
      <c r="AE40" s="1951">
        <f>AD40/AC40</f>
        <v>0.76301075268817209</v>
      </c>
      <c r="AF40" s="1964"/>
      <c r="AG40" s="1947">
        <f>'[5]int.kiadások RM V '!AA40</f>
        <v>0</v>
      </c>
      <c r="AH40" s="1964"/>
      <c r="AI40" s="1951"/>
      <c r="AJ40" s="1964"/>
      <c r="AK40" s="1964"/>
      <c r="AL40" s="1964"/>
      <c r="AM40" s="1948"/>
      <c r="AN40" s="1958" t="s">
        <v>1351</v>
      </c>
      <c r="AO40" s="1947">
        <f>AB40+AF40+AJ40</f>
        <v>7300</v>
      </c>
      <c r="AP40" s="1947">
        <f>AC40+AG40+AK40</f>
        <v>9300</v>
      </c>
      <c r="AQ40" s="1947">
        <f>AD40+AH40+AL40</f>
        <v>7096</v>
      </c>
      <c r="AR40" s="1951">
        <f>AQ40/AP40</f>
        <v>0.76301075268817209</v>
      </c>
      <c r="AS40" s="1947">
        <f>W40+AO40</f>
        <v>142894</v>
      </c>
      <c r="AT40" s="1947">
        <f>X40+AP40</f>
        <v>183507</v>
      </c>
      <c r="AU40" s="1947">
        <f>Y40+AQ40</f>
        <v>154038</v>
      </c>
      <c r="AV40" s="1951">
        <f>AU40/AT40</f>
        <v>0.83941212051856329</v>
      </c>
      <c r="AW40" s="1947">
        <f>AS40-'[6]éves besz.bevételei2016'!BM40</f>
        <v>0</v>
      </c>
      <c r="AX40" s="1947">
        <f>AT40-'[6]éves besz.bevételei2016'!BN40</f>
        <v>0</v>
      </c>
      <c r="AY40" s="1947">
        <f>AU40-'[6]éves besz.bevételei2016'!BO40</f>
        <v>-28387</v>
      </c>
    </row>
    <row r="41" spans="1:51" s="1836" customFormat="1" ht="49.5" customHeight="1" thickBot="1" x14ac:dyDescent="0.65">
      <c r="A41" s="1965" t="s">
        <v>1352</v>
      </c>
      <c r="B41" s="1966">
        <f>SUM(B40:B40)</f>
        <v>38725</v>
      </c>
      <c r="C41" s="1966">
        <f>SUM(C40:C40)</f>
        <v>39628</v>
      </c>
      <c r="D41" s="1966">
        <f>SUM(D40:D40)</f>
        <v>33067</v>
      </c>
      <c r="E41" s="1967">
        <f>D41/C41</f>
        <v>0.83443524780458267</v>
      </c>
      <c r="F41" s="1966">
        <f>SUM(F40:F40)</f>
        <v>10719</v>
      </c>
      <c r="G41" s="1966">
        <f>SUM(G40:G40)</f>
        <v>11019</v>
      </c>
      <c r="H41" s="1966">
        <f>SUM(H40:H40)</f>
        <v>8897</v>
      </c>
      <c r="I41" s="1967">
        <f>H41/G41</f>
        <v>0.80742354115618475</v>
      </c>
      <c r="J41" s="1966">
        <f>SUM(J40:J40)</f>
        <v>55767</v>
      </c>
      <c r="K41" s="1966">
        <f>SUM(K40:K40)</f>
        <v>69898</v>
      </c>
      <c r="L41" s="1966">
        <f>SUM(L40:L40)</f>
        <v>51316</v>
      </c>
      <c r="M41" s="1967">
        <f>L41/K41</f>
        <v>0.73415548370482708</v>
      </c>
      <c r="N41" s="1965" t="s">
        <v>1352</v>
      </c>
      <c r="O41" s="1966">
        <f>SUM(O40:O40)</f>
        <v>0</v>
      </c>
      <c r="P41" s="1966">
        <f>SUM(P40:P40)</f>
        <v>0</v>
      </c>
      <c r="Q41" s="1966">
        <f>SUM(Q40:Q40)</f>
        <v>0</v>
      </c>
      <c r="R41" s="1967"/>
      <c r="S41" s="1966">
        <f>SUM(S40:S40)</f>
        <v>30383</v>
      </c>
      <c r="T41" s="1966">
        <f>SUM(T40:T40)</f>
        <v>53662</v>
      </c>
      <c r="U41" s="1966">
        <f>SUM(U40:U40)</f>
        <v>53662</v>
      </c>
      <c r="V41" s="1967">
        <f>U41/T41</f>
        <v>1</v>
      </c>
      <c r="W41" s="1966">
        <f>SUM(W40:W40)</f>
        <v>135594</v>
      </c>
      <c r="X41" s="1966">
        <f>SUM(X40:X40)</f>
        <v>174207</v>
      </c>
      <c r="Y41" s="1966">
        <f>SUM(Y40:Y40)</f>
        <v>146942</v>
      </c>
      <c r="Z41" s="1967">
        <f>Y41/X41</f>
        <v>0.84349078969272184</v>
      </c>
      <c r="AA41" s="1965" t="s">
        <v>1352</v>
      </c>
      <c r="AB41" s="1966">
        <f>SUM(AB40:AB40)</f>
        <v>7300</v>
      </c>
      <c r="AC41" s="1966">
        <f>SUM(AC40:AC40)</f>
        <v>9300</v>
      </c>
      <c r="AD41" s="1966">
        <f>SUM(AD40:AD40)</f>
        <v>7096</v>
      </c>
      <c r="AE41" s="1967">
        <f>AD41/AC41</f>
        <v>0.76301075268817209</v>
      </c>
      <c r="AF41" s="1966">
        <f>SUM(AF40:AF40)</f>
        <v>0</v>
      </c>
      <c r="AG41" s="1966">
        <f>SUM(AG40:AG40)</f>
        <v>0</v>
      </c>
      <c r="AH41" s="1966">
        <f>SUM(AH40:AH40)</f>
        <v>0</v>
      </c>
      <c r="AI41" s="1967"/>
      <c r="AJ41" s="1966">
        <f>SUM(AJ40:AJ40)</f>
        <v>0</v>
      </c>
      <c r="AK41" s="1966">
        <f>SUM(AK40:AK40)</f>
        <v>0</v>
      </c>
      <c r="AL41" s="1966">
        <f>SUM(AL40:AL40)</f>
        <v>0</v>
      </c>
      <c r="AM41" s="1955"/>
      <c r="AN41" s="1965" t="s">
        <v>1352</v>
      </c>
      <c r="AO41" s="1966">
        <f>SUM(AO40:AO40)</f>
        <v>7300</v>
      </c>
      <c r="AP41" s="1966">
        <f>SUM(AP40:AP40)</f>
        <v>9300</v>
      </c>
      <c r="AQ41" s="1966">
        <f>SUM(AQ40:AQ40)</f>
        <v>7096</v>
      </c>
      <c r="AR41" s="1967">
        <f>AQ41/AP41</f>
        <v>0.76301075268817209</v>
      </c>
      <c r="AS41" s="1966">
        <f>SUM(AS40:AS40)</f>
        <v>142894</v>
      </c>
      <c r="AT41" s="1966">
        <f>SUM(AT40:AT40)</f>
        <v>183507</v>
      </c>
      <c r="AU41" s="1966">
        <f>SUM(AU40:AU40)</f>
        <v>154038</v>
      </c>
      <c r="AV41" s="1967">
        <f>AU41/AT41</f>
        <v>0.83941212051856329</v>
      </c>
      <c r="AW41" s="1947">
        <f>AS41-'[6]éves besz.bevételei2016'!BM41</f>
        <v>0</v>
      </c>
      <c r="AX41" s="1947">
        <f>AT41-'[6]éves besz.bevételei2016'!BN41</f>
        <v>0</v>
      </c>
      <c r="AY41" s="1947">
        <f>AU41-'[6]éves besz.bevételei2016'!BO41</f>
        <v>-28387</v>
      </c>
    </row>
    <row r="42" spans="1:51" s="1836" customFormat="1" ht="49.5" customHeight="1" x14ac:dyDescent="0.6">
      <c r="A42" s="1963" t="s">
        <v>1353</v>
      </c>
      <c r="B42" s="1834"/>
      <c r="C42" s="1834"/>
      <c r="D42" s="1834"/>
      <c r="E42" s="1951"/>
      <c r="F42" s="1834"/>
      <c r="G42" s="1834"/>
      <c r="H42" s="1834"/>
      <c r="I42" s="1951"/>
      <c r="J42" s="1834"/>
      <c r="K42" s="1834"/>
      <c r="L42" s="1834"/>
      <c r="M42" s="1951"/>
      <c r="N42" s="1963" t="s">
        <v>1353</v>
      </c>
      <c r="O42" s="1834"/>
      <c r="P42" s="1834"/>
      <c r="Q42" s="1834"/>
      <c r="R42" s="1951"/>
      <c r="S42" s="1834"/>
      <c r="T42" s="1834"/>
      <c r="U42" s="1834"/>
      <c r="V42" s="1951"/>
      <c r="W42" s="1834"/>
      <c r="X42" s="1834"/>
      <c r="Y42" s="1834"/>
      <c r="Z42" s="1951"/>
      <c r="AA42" s="1963" t="s">
        <v>1353</v>
      </c>
      <c r="AB42" s="1834"/>
      <c r="AC42" s="1834"/>
      <c r="AD42" s="1834"/>
      <c r="AE42" s="1951"/>
      <c r="AF42" s="1834"/>
      <c r="AG42" s="1834"/>
      <c r="AH42" s="1834"/>
      <c r="AI42" s="1951"/>
      <c r="AJ42" s="1834"/>
      <c r="AK42" s="1834"/>
      <c r="AL42" s="1834"/>
      <c r="AM42" s="1951"/>
      <c r="AN42" s="1963" t="s">
        <v>1353</v>
      </c>
      <c r="AO42" s="1834"/>
      <c r="AP42" s="1834"/>
      <c r="AQ42" s="1834"/>
      <c r="AR42" s="1951"/>
      <c r="AS42" s="1834"/>
      <c r="AT42" s="1834"/>
      <c r="AU42" s="1834"/>
      <c r="AV42" s="1951"/>
      <c r="AW42" s="1947">
        <f>AS42-'[6]éves besz.bevételei2016'!BM42</f>
        <v>0</v>
      </c>
      <c r="AX42" s="1947"/>
      <c r="AY42" s="1947">
        <f>AU42-'[6]éves besz.bevételei2016'!BO42</f>
        <v>0</v>
      </c>
    </row>
    <row r="43" spans="1:51" s="1836" customFormat="1" ht="49.5" customHeight="1" x14ac:dyDescent="0.6">
      <c r="A43" s="1958" t="s">
        <v>1354</v>
      </c>
      <c r="B43" s="1964">
        <f>[4]int.kiadások2016!B42</f>
        <v>242346</v>
      </c>
      <c r="C43" s="1947">
        <f>'[5]int.kiadások RM V '!D43</f>
        <v>274751</v>
      </c>
      <c r="D43" s="1964">
        <v>269624</v>
      </c>
      <c r="E43" s="1948">
        <f>D43/C43</f>
        <v>0.98133946737227529</v>
      </c>
      <c r="F43" s="1964">
        <f>[4]int.kiadások2016!C42</f>
        <v>68295</v>
      </c>
      <c r="G43" s="1947">
        <f>'[5]int.kiadások RM V '!G43</f>
        <v>77530</v>
      </c>
      <c r="H43" s="1964">
        <v>76296</v>
      </c>
      <c r="I43" s="1948">
        <f>H43/G43</f>
        <v>0.98408358054946476</v>
      </c>
      <c r="J43" s="1964">
        <f>[4]int.kiadások2016!D42</f>
        <v>119626</v>
      </c>
      <c r="K43" s="1947">
        <f>'[5]int.kiadások RM V '!J43</f>
        <v>151491</v>
      </c>
      <c r="L43" s="1964">
        <v>131492</v>
      </c>
      <c r="M43" s="1948">
        <f>L43/K43</f>
        <v>0.86798555689776946</v>
      </c>
      <c r="N43" s="1958" t="s">
        <v>1354</v>
      </c>
      <c r="O43" s="1964"/>
      <c r="P43" s="1947"/>
      <c r="Q43" s="1964"/>
      <c r="R43" s="1948"/>
      <c r="S43" s="1964"/>
      <c r="T43" s="1964"/>
      <c r="U43" s="1964"/>
      <c r="V43" s="1948"/>
      <c r="W43" s="1947">
        <f>B43+F43+J43+O43+S43</f>
        <v>430267</v>
      </c>
      <c r="X43" s="1947">
        <f>C43+G43+K43+P43+T43</f>
        <v>503772</v>
      </c>
      <c r="Y43" s="1947">
        <f>D43+H43+L43+Q43+U43</f>
        <v>477412</v>
      </c>
      <c r="Z43" s="1948">
        <f>Y43/X43</f>
        <v>0.94767474174825117</v>
      </c>
      <c r="AA43" s="1958" t="s">
        <v>1354</v>
      </c>
      <c r="AB43" s="1964">
        <f>[4]int.kiadások2016!I42</f>
        <v>1270</v>
      </c>
      <c r="AC43" s="1947">
        <f>'[5]int.kiadások RM V '!X43</f>
        <v>9996</v>
      </c>
      <c r="AD43" s="1964">
        <v>9993</v>
      </c>
      <c r="AE43" s="1948">
        <f>AD43/AC43</f>
        <v>0.99969987995198084</v>
      </c>
      <c r="AF43" s="1964"/>
      <c r="AG43" s="1947">
        <f>'[5]int.kiadások RM V '!AA43</f>
        <v>12072</v>
      </c>
      <c r="AH43" s="1964">
        <v>7655</v>
      </c>
      <c r="AI43" s="1948">
        <f>AH43/AG43</f>
        <v>0.63411199469847579</v>
      </c>
      <c r="AJ43" s="1964"/>
      <c r="AK43" s="1964"/>
      <c r="AL43" s="1964"/>
      <c r="AM43" s="1948"/>
      <c r="AN43" s="1958" t="s">
        <v>1354</v>
      </c>
      <c r="AO43" s="1947">
        <f>AB43+AF43+AJ43</f>
        <v>1270</v>
      </c>
      <c r="AP43" s="1947">
        <f>AC43+AG43+AK43</f>
        <v>22068</v>
      </c>
      <c r="AQ43" s="1947">
        <f>AD43+AH43+AL43</f>
        <v>17648</v>
      </c>
      <c r="AR43" s="1948">
        <f>AQ43/AP43</f>
        <v>0.79970998731194487</v>
      </c>
      <c r="AS43" s="1947">
        <f>W43+AO43</f>
        <v>431537</v>
      </c>
      <c r="AT43" s="1947">
        <f>X43+AP43</f>
        <v>525840</v>
      </c>
      <c r="AU43" s="1947">
        <f>Y43+AQ43</f>
        <v>495060</v>
      </c>
      <c r="AV43" s="1948">
        <f>AU43/AT43</f>
        <v>0.94146508443633048</v>
      </c>
      <c r="AW43" s="1947">
        <f>AS43-'[6]éves besz.bevételei2016'!BM43</f>
        <v>0</v>
      </c>
      <c r="AX43" s="1947">
        <f>AT43-'[6]éves besz.bevételei2016'!BN43</f>
        <v>0</v>
      </c>
      <c r="AY43" s="1947">
        <f>AU43-'[6]éves besz.bevételei2016'!BO43</f>
        <v>-23476</v>
      </c>
    </row>
    <row r="44" spans="1:51" s="1836" customFormat="1" ht="49.5" customHeight="1" thickBot="1" x14ac:dyDescent="0.65">
      <c r="A44" s="1965" t="s">
        <v>1355</v>
      </c>
      <c r="B44" s="1966">
        <f>SUM(B43)</f>
        <v>242346</v>
      </c>
      <c r="C44" s="1966">
        <f>SUM(C43)</f>
        <v>274751</v>
      </c>
      <c r="D44" s="1966">
        <f>SUM(D43)</f>
        <v>269624</v>
      </c>
      <c r="E44" s="1967">
        <f>D44/C44</f>
        <v>0.98133946737227529</v>
      </c>
      <c r="F44" s="1966">
        <f>SUM(F43)</f>
        <v>68295</v>
      </c>
      <c r="G44" s="1966">
        <f>SUM(G43)</f>
        <v>77530</v>
      </c>
      <c r="H44" s="1966">
        <f>SUM(H43)</f>
        <v>76296</v>
      </c>
      <c r="I44" s="1967">
        <f>H44/G44</f>
        <v>0.98408358054946476</v>
      </c>
      <c r="J44" s="1966">
        <f>SUM(J43)</f>
        <v>119626</v>
      </c>
      <c r="K44" s="1966">
        <f>SUM(K43)</f>
        <v>151491</v>
      </c>
      <c r="L44" s="1966">
        <f>SUM(L43)</f>
        <v>131492</v>
      </c>
      <c r="M44" s="1967">
        <f>L44/K44</f>
        <v>0.86798555689776946</v>
      </c>
      <c r="N44" s="1965" t="s">
        <v>1355</v>
      </c>
      <c r="O44" s="1966">
        <f>SUM(O43)</f>
        <v>0</v>
      </c>
      <c r="P44" s="1966">
        <f>SUM(P43)</f>
        <v>0</v>
      </c>
      <c r="Q44" s="1966">
        <f>SUM(Q43)</f>
        <v>0</v>
      </c>
      <c r="R44" s="1967"/>
      <c r="S44" s="1966">
        <f>SUM(S43)</f>
        <v>0</v>
      </c>
      <c r="T44" s="1966">
        <f>SUM(T43)</f>
        <v>0</v>
      </c>
      <c r="U44" s="1966">
        <f>SUM(U43)</f>
        <v>0</v>
      </c>
      <c r="V44" s="1967"/>
      <c r="W44" s="1966">
        <f>SUM(W43)</f>
        <v>430267</v>
      </c>
      <c r="X44" s="1966">
        <f>SUM(X43)</f>
        <v>503772</v>
      </c>
      <c r="Y44" s="1966">
        <f>SUM(Y43)</f>
        <v>477412</v>
      </c>
      <c r="Z44" s="1967">
        <f>Y44/X44</f>
        <v>0.94767474174825117</v>
      </c>
      <c r="AA44" s="1965" t="s">
        <v>1355</v>
      </c>
      <c r="AB44" s="1966">
        <f>SUM(AB43)</f>
        <v>1270</v>
      </c>
      <c r="AC44" s="1966">
        <f>SUM(AC43)</f>
        <v>9996</v>
      </c>
      <c r="AD44" s="1966">
        <f>SUM(AD43)</f>
        <v>9993</v>
      </c>
      <c r="AE44" s="1967">
        <f>AD44/AC44</f>
        <v>0.99969987995198084</v>
      </c>
      <c r="AF44" s="1966">
        <f>SUM(AF43)</f>
        <v>0</v>
      </c>
      <c r="AG44" s="1966">
        <f>SUM(AG43)</f>
        <v>12072</v>
      </c>
      <c r="AH44" s="1966">
        <f>SUM(AH43)</f>
        <v>7655</v>
      </c>
      <c r="AI44" s="1967">
        <f>AH44/AG44</f>
        <v>0.63411199469847579</v>
      </c>
      <c r="AJ44" s="1966">
        <f>SUM(AJ43)</f>
        <v>0</v>
      </c>
      <c r="AK44" s="1966">
        <f>SUM(AK43)</f>
        <v>0</v>
      </c>
      <c r="AL44" s="1966">
        <f>SUM(AL43)</f>
        <v>0</v>
      </c>
      <c r="AM44" s="1967"/>
      <c r="AN44" s="1965" t="s">
        <v>1355</v>
      </c>
      <c r="AO44" s="1966">
        <f>SUM(AO43)</f>
        <v>1270</v>
      </c>
      <c r="AP44" s="1966">
        <f>SUM(AP43)</f>
        <v>22068</v>
      </c>
      <c r="AQ44" s="1966">
        <f>SUM(AQ43)</f>
        <v>17648</v>
      </c>
      <c r="AR44" s="1967">
        <f>AQ44/AP44</f>
        <v>0.79970998731194487</v>
      </c>
      <c r="AS44" s="1966">
        <f>SUM(AS43)</f>
        <v>431537</v>
      </c>
      <c r="AT44" s="1966">
        <f>SUM(AT43)</f>
        <v>525840</v>
      </c>
      <c r="AU44" s="1966">
        <f>SUM(AU43)</f>
        <v>495060</v>
      </c>
      <c r="AV44" s="1967">
        <f>AU44/AT44</f>
        <v>0.94146508443633048</v>
      </c>
      <c r="AW44" s="1947">
        <f>AS44-'[6]éves besz.bevételei2016'!BM44</f>
        <v>0</v>
      </c>
      <c r="AX44" s="1947">
        <f>AT44-'[6]éves besz.bevételei2016'!BN44</f>
        <v>0</v>
      </c>
      <c r="AY44" s="1947">
        <f>AU44-'[6]éves besz.bevételei2016'!BO44</f>
        <v>-23476</v>
      </c>
    </row>
    <row r="45" spans="1:51" s="1836" customFormat="1" ht="49.5" customHeight="1" x14ac:dyDescent="0.6">
      <c r="A45" s="1963" t="s">
        <v>1151</v>
      </c>
      <c r="B45" s="1834"/>
      <c r="C45" s="1834"/>
      <c r="D45" s="1834"/>
      <c r="E45" s="1834"/>
      <c r="F45" s="1834"/>
      <c r="G45" s="1834"/>
      <c r="H45" s="1834"/>
      <c r="I45" s="1834"/>
      <c r="J45" s="1834"/>
      <c r="K45" s="1834"/>
      <c r="L45" s="1834"/>
      <c r="M45" s="1834"/>
      <c r="N45" s="1963" t="s">
        <v>1151</v>
      </c>
      <c r="O45" s="1834"/>
      <c r="P45" s="1834"/>
      <c r="Q45" s="1834"/>
      <c r="R45" s="1834"/>
      <c r="S45" s="1834"/>
      <c r="T45" s="1834"/>
      <c r="U45" s="1834"/>
      <c r="V45" s="1834"/>
      <c r="W45" s="1834"/>
      <c r="X45" s="1834"/>
      <c r="Y45" s="1834"/>
      <c r="Z45" s="1834"/>
      <c r="AA45" s="1963" t="s">
        <v>1151</v>
      </c>
      <c r="AB45" s="1834"/>
      <c r="AC45" s="1834"/>
      <c r="AD45" s="1834"/>
      <c r="AE45" s="1834"/>
      <c r="AF45" s="1834"/>
      <c r="AG45" s="1834"/>
      <c r="AH45" s="1834"/>
      <c r="AI45" s="1834"/>
      <c r="AJ45" s="1834"/>
      <c r="AK45" s="1834"/>
      <c r="AL45" s="1834"/>
      <c r="AM45" s="1834"/>
      <c r="AN45" s="1963" t="s">
        <v>1151</v>
      </c>
      <c r="AO45" s="1834"/>
      <c r="AP45" s="1834"/>
      <c r="AQ45" s="1834"/>
      <c r="AR45" s="1834"/>
      <c r="AS45" s="1834"/>
      <c r="AT45" s="1834"/>
      <c r="AU45" s="1834"/>
      <c r="AV45" s="1834"/>
      <c r="AW45" s="1947">
        <f>AS45-'[6]éves besz.bevételei2016'!BM45</f>
        <v>0</v>
      </c>
      <c r="AX45" s="1947"/>
      <c r="AY45" s="1947">
        <f>AU45-'[6]éves besz.bevételei2016'!BO45</f>
        <v>0</v>
      </c>
    </row>
    <row r="46" spans="1:51" s="1836" customFormat="1" ht="99" customHeight="1" x14ac:dyDescent="0.6">
      <c r="A46" s="1968" t="s">
        <v>1356</v>
      </c>
      <c r="B46" s="1950">
        <f>[4]int.kiadások2016!B45</f>
        <v>315620</v>
      </c>
      <c r="C46" s="1947">
        <f>'[5]int.kiadások RM V '!D46</f>
        <v>394916</v>
      </c>
      <c r="D46" s="1950">
        <v>393368</v>
      </c>
      <c r="E46" s="1948">
        <f t="shared" ref="E46:E54" si="21">D46/C46</f>
        <v>0.99608017907605673</v>
      </c>
      <c r="F46" s="1950">
        <f>[4]int.kiadások2016!C45</f>
        <v>96070</v>
      </c>
      <c r="G46" s="1947">
        <f>'[5]int.kiadások RM V '!G46</f>
        <v>115598</v>
      </c>
      <c r="H46" s="1950">
        <v>115181</v>
      </c>
      <c r="I46" s="1948">
        <f t="shared" ref="I46:I54" si="22">H46/G46</f>
        <v>0.99639267115348018</v>
      </c>
      <c r="J46" s="1950">
        <f>[4]int.kiadások2016!D45</f>
        <v>135835</v>
      </c>
      <c r="K46" s="1947">
        <f>'[5]int.kiadások RM V '!J46</f>
        <v>130287</v>
      </c>
      <c r="L46" s="1950">
        <v>129468</v>
      </c>
      <c r="M46" s="1948">
        <f t="shared" ref="M46:M54" si="23">L46/K46</f>
        <v>0.99371387782357412</v>
      </c>
      <c r="N46" s="1968" t="s">
        <v>1356</v>
      </c>
      <c r="O46" s="1950"/>
      <c r="P46" s="1947"/>
      <c r="Q46" s="1950"/>
      <c r="R46" s="1948"/>
      <c r="S46" s="1950"/>
      <c r="T46" s="1950"/>
      <c r="U46" s="1950"/>
      <c r="V46" s="1948"/>
      <c r="W46" s="1947">
        <f t="shared" ref="W46:Y47" si="24">B46+F46+J46+O46+S46</f>
        <v>547525</v>
      </c>
      <c r="X46" s="1947">
        <f t="shared" si="24"/>
        <v>640801</v>
      </c>
      <c r="Y46" s="1947">
        <f t="shared" si="24"/>
        <v>638017</v>
      </c>
      <c r="Z46" s="1948">
        <f t="shared" ref="Z46:Z54" si="25">Y46/X46</f>
        <v>0.99565543749151453</v>
      </c>
      <c r="AA46" s="1968" t="s">
        <v>1356</v>
      </c>
      <c r="AB46" s="1950">
        <f>[4]int.kiadások2016!I45</f>
        <v>1903</v>
      </c>
      <c r="AC46" s="1947">
        <f>'[5]int.kiadások RM V '!X46</f>
        <v>6341</v>
      </c>
      <c r="AD46" s="1950">
        <v>5428</v>
      </c>
      <c r="AE46" s="1948">
        <f t="shared" ref="AE46:AE54" si="26">AD46/AC46</f>
        <v>0.85601640119854916</v>
      </c>
      <c r="AF46" s="1950"/>
      <c r="AG46" s="1947">
        <f>'[5]int.kiadások RM V '!AA46</f>
        <v>885</v>
      </c>
      <c r="AH46" s="1950">
        <v>885</v>
      </c>
      <c r="AI46" s="1948">
        <f t="shared" ref="AI46:AI54" si="27">AH46/AG46</f>
        <v>1</v>
      </c>
      <c r="AJ46" s="1950"/>
      <c r="AK46" s="1950"/>
      <c r="AL46" s="1950"/>
      <c r="AM46" s="1948"/>
      <c r="AN46" s="1968" t="s">
        <v>1356</v>
      </c>
      <c r="AO46" s="1947">
        <f t="shared" ref="AO46:AQ47" si="28">AB46+AF46+AJ46</f>
        <v>1903</v>
      </c>
      <c r="AP46" s="1947">
        <f t="shared" si="28"/>
        <v>7226</v>
      </c>
      <c r="AQ46" s="1947">
        <f t="shared" si="28"/>
        <v>6313</v>
      </c>
      <c r="AR46" s="1948">
        <f t="shared" ref="AR46:AR54" si="29">AQ46/AP46</f>
        <v>0.87365070578466653</v>
      </c>
      <c r="AS46" s="1947">
        <f t="shared" ref="AS46:AU47" si="30">W46+AO46</f>
        <v>549428</v>
      </c>
      <c r="AT46" s="1947">
        <f t="shared" si="30"/>
        <v>648027</v>
      </c>
      <c r="AU46" s="1947">
        <f t="shared" si="30"/>
        <v>644330</v>
      </c>
      <c r="AV46" s="1948">
        <f t="shared" ref="AV46:AV54" si="31">AU46/AT46</f>
        <v>0.99429499079513661</v>
      </c>
      <c r="AW46" s="1947">
        <f>AS46-'[6]éves besz.bevételei2016'!BM46</f>
        <v>0</v>
      </c>
      <c r="AX46" s="1947">
        <f>AT46-'[6]éves besz.bevételei2016'!BN46</f>
        <v>0</v>
      </c>
      <c r="AY46" s="1947">
        <f>AU46-'[6]éves besz.bevételei2016'!BO46</f>
        <v>-787</v>
      </c>
    </row>
    <row r="47" spans="1:51" s="1830" customFormat="1" ht="99" customHeight="1" thickBot="1" x14ac:dyDescent="0.65">
      <c r="A47" s="1969" t="s">
        <v>1357</v>
      </c>
      <c r="B47" s="1970">
        <f>[4]int.kiadások2016!B46</f>
        <v>314878</v>
      </c>
      <c r="C47" s="1947">
        <f>'[5]int.kiadások RM V '!D47</f>
        <v>405840</v>
      </c>
      <c r="D47" s="1970">
        <v>389303</v>
      </c>
      <c r="E47" s="1951">
        <f t="shared" si="21"/>
        <v>0.959252414744727</v>
      </c>
      <c r="F47" s="1970">
        <f>[4]int.kiadások2016!C46</f>
        <v>92953</v>
      </c>
      <c r="G47" s="1947">
        <f>'[5]int.kiadások RM V '!G47</f>
        <v>116479</v>
      </c>
      <c r="H47" s="1970">
        <v>112478</v>
      </c>
      <c r="I47" s="1951">
        <f t="shared" si="22"/>
        <v>0.96565046059804771</v>
      </c>
      <c r="J47" s="1970">
        <f>[4]int.kiadások2016!D46</f>
        <v>216730</v>
      </c>
      <c r="K47" s="1947">
        <f>'[5]int.kiadások RM V '!J47</f>
        <v>246402</v>
      </c>
      <c r="L47" s="1970">
        <v>236798</v>
      </c>
      <c r="M47" s="1951">
        <f t="shared" si="23"/>
        <v>0.96102304364412627</v>
      </c>
      <c r="N47" s="1969" t="s">
        <v>1357</v>
      </c>
      <c r="O47" s="1970"/>
      <c r="P47" s="1947"/>
      <c r="Q47" s="1970"/>
      <c r="R47" s="1951"/>
      <c r="S47" s="1970"/>
      <c r="T47" s="1970"/>
      <c r="U47" s="1970"/>
      <c r="V47" s="1951"/>
      <c r="W47" s="1947">
        <f t="shared" si="24"/>
        <v>624561</v>
      </c>
      <c r="X47" s="1947">
        <f t="shared" si="24"/>
        <v>768721</v>
      </c>
      <c r="Y47" s="1947">
        <f t="shared" si="24"/>
        <v>738579</v>
      </c>
      <c r="Z47" s="1951">
        <f t="shared" si="25"/>
        <v>0.96078941514541683</v>
      </c>
      <c r="AA47" s="1969" t="s">
        <v>1357</v>
      </c>
      <c r="AB47" s="1970"/>
      <c r="AC47" s="1947">
        <f>'[5]int.kiadások RM V '!X47</f>
        <v>18311</v>
      </c>
      <c r="AD47" s="1970">
        <v>11247</v>
      </c>
      <c r="AE47" s="1951">
        <f t="shared" si="26"/>
        <v>0.61422096007864124</v>
      </c>
      <c r="AF47" s="1970"/>
      <c r="AG47" s="1947">
        <f>'[5]int.kiadások RM V '!AA47</f>
        <v>10350</v>
      </c>
      <c r="AH47" s="1970">
        <v>7850</v>
      </c>
      <c r="AI47" s="1951">
        <f t="shared" si="27"/>
        <v>0.75845410628019327</v>
      </c>
      <c r="AJ47" s="1970"/>
      <c r="AK47" s="1970"/>
      <c r="AL47" s="1970"/>
      <c r="AM47" s="1951"/>
      <c r="AN47" s="1969" t="s">
        <v>1357</v>
      </c>
      <c r="AO47" s="1947">
        <f t="shared" si="28"/>
        <v>0</v>
      </c>
      <c r="AP47" s="1947">
        <f t="shared" si="28"/>
        <v>28661</v>
      </c>
      <c r="AQ47" s="1947">
        <f t="shared" si="28"/>
        <v>19097</v>
      </c>
      <c r="AR47" s="1951">
        <f t="shared" si="29"/>
        <v>0.66630613028156727</v>
      </c>
      <c r="AS47" s="1947">
        <f t="shared" si="30"/>
        <v>624561</v>
      </c>
      <c r="AT47" s="1947">
        <f t="shared" si="30"/>
        <v>797382</v>
      </c>
      <c r="AU47" s="1947">
        <f t="shared" si="30"/>
        <v>757676</v>
      </c>
      <c r="AV47" s="1951">
        <f t="shared" si="31"/>
        <v>0.95020454437145563</v>
      </c>
      <c r="AW47" s="1947">
        <f>AS47-'[6]éves besz.bevételei2016'!BM47</f>
        <v>0</v>
      </c>
      <c r="AX47" s="1947">
        <f>AT47-'[6]éves besz.bevételei2016'!BN47</f>
        <v>0</v>
      </c>
      <c r="AY47" s="1947">
        <f>AU47-'[6]éves besz.bevételei2016'!BO47</f>
        <v>-591</v>
      </c>
    </row>
    <row r="48" spans="1:51" s="1836" customFormat="1" ht="49.5" customHeight="1" thickBot="1" x14ac:dyDescent="0.65">
      <c r="A48" s="1971" t="s">
        <v>1355</v>
      </c>
      <c r="B48" s="1953">
        <f>SUM(B46:B47)</f>
        <v>630498</v>
      </c>
      <c r="C48" s="1953">
        <f>SUM(C46:C47)</f>
        <v>800756</v>
      </c>
      <c r="D48" s="1953">
        <f>SUM(D46:D47)</f>
        <v>782671</v>
      </c>
      <c r="E48" s="1972">
        <f t="shared" si="21"/>
        <v>0.97741509273736316</v>
      </c>
      <c r="F48" s="1953">
        <f>SUM(F46:F47)</f>
        <v>189023</v>
      </c>
      <c r="G48" s="1953">
        <f>SUM(G46:G47)</f>
        <v>232077</v>
      </c>
      <c r="H48" s="1953">
        <f>SUM(H46:H47)</f>
        <v>227659</v>
      </c>
      <c r="I48" s="1972">
        <f t="shared" si="22"/>
        <v>0.98096321479508952</v>
      </c>
      <c r="J48" s="1953">
        <f>SUM(J46:J47)</f>
        <v>352565</v>
      </c>
      <c r="K48" s="1953">
        <f>SUM(K46:K47)</f>
        <v>376689</v>
      </c>
      <c r="L48" s="1953">
        <f>SUM(L46:L47)</f>
        <v>366266</v>
      </c>
      <c r="M48" s="1972">
        <f t="shared" si="23"/>
        <v>0.97232995919710952</v>
      </c>
      <c r="N48" s="1971" t="s">
        <v>1355</v>
      </c>
      <c r="O48" s="1953">
        <f>SUM(O46:O47)</f>
        <v>0</v>
      </c>
      <c r="P48" s="1953">
        <f>SUM(P46:P47)</f>
        <v>0</v>
      </c>
      <c r="Q48" s="1953">
        <f>SUM(Q46:Q47)</f>
        <v>0</v>
      </c>
      <c r="R48" s="1972"/>
      <c r="S48" s="1953">
        <f>SUM(S46:S47)</f>
        <v>0</v>
      </c>
      <c r="T48" s="1953">
        <f>SUM(T46:T47)</f>
        <v>0</v>
      </c>
      <c r="U48" s="1953">
        <f>SUM(U46:U47)</f>
        <v>0</v>
      </c>
      <c r="V48" s="1972"/>
      <c r="W48" s="1953">
        <f>SUM(W46:W47)</f>
        <v>1172086</v>
      </c>
      <c r="X48" s="1953">
        <f>SUM(X46:X47)</f>
        <v>1409522</v>
      </c>
      <c r="Y48" s="1953">
        <f>SUM(Y46:Y47)</f>
        <v>1376596</v>
      </c>
      <c r="Z48" s="1972">
        <f t="shared" si="25"/>
        <v>0.97664030784904388</v>
      </c>
      <c r="AA48" s="1971" t="s">
        <v>1355</v>
      </c>
      <c r="AB48" s="1953">
        <f>SUM(AB46:AB47)</f>
        <v>1903</v>
      </c>
      <c r="AC48" s="1953">
        <f>SUM(AC46:AC47)</f>
        <v>24652</v>
      </c>
      <c r="AD48" s="1953">
        <f>SUM(AD46:AD47)</f>
        <v>16675</v>
      </c>
      <c r="AE48" s="1972">
        <f t="shared" si="26"/>
        <v>0.6764157066363784</v>
      </c>
      <c r="AF48" s="1953">
        <f>SUM(AF46:AF47)</f>
        <v>0</v>
      </c>
      <c r="AG48" s="1953">
        <f>SUM(AG46:AG47)</f>
        <v>11235</v>
      </c>
      <c r="AH48" s="1953">
        <f>SUM(AH46:AH47)</f>
        <v>8735</v>
      </c>
      <c r="AI48" s="1972">
        <f t="shared" si="27"/>
        <v>0.77748108589230081</v>
      </c>
      <c r="AJ48" s="1953">
        <f>SUM(AJ46:AJ47)</f>
        <v>0</v>
      </c>
      <c r="AK48" s="1953">
        <f>SUM(AK46:AK47)</f>
        <v>0</v>
      </c>
      <c r="AL48" s="1953">
        <f>SUM(AL46:AL47)</f>
        <v>0</v>
      </c>
      <c r="AM48" s="1972"/>
      <c r="AN48" s="1971" t="s">
        <v>1355</v>
      </c>
      <c r="AO48" s="1953">
        <f>SUM(AO46:AO47)</f>
        <v>1903</v>
      </c>
      <c r="AP48" s="1953">
        <f>SUM(AP46:AP47)</f>
        <v>35887</v>
      </c>
      <c r="AQ48" s="1953">
        <f>SUM(AQ46:AQ47)</f>
        <v>25410</v>
      </c>
      <c r="AR48" s="1972">
        <f t="shared" si="29"/>
        <v>0.70805584194833782</v>
      </c>
      <c r="AS48" s="1953">
        <f>SUM(AS46:AS47)</f>
        <v>1173989</v>
      </c>
      <c r="AT48" s="1953">
        <f>SUM(AT46:AT47)</f>
        <v>1445409</v>
      </c>
      <c r="AU48" s="1953">
        <f>SUM(AU46:AU47)</f>
        <v>1402006</v>
      </c>
      <c r="AV48" s="1972">
        <f t="shared" si="31"/>
        <v>0.96997182112467817</v>
      </c>
      <c r="AW48" s="1947">
        <f>AS48-'[6]éves besz.bevételei2016'!BM48</f>
        <v>0</v>
      </c>
      <c r="AX48" s="1947">
        <f>AT48-'[6]éves besz.bevételei2016'!BN48</f>
        <v>0</v>
      </c>
      <c r="AY48" s="1947">
        <f>AU48-'[6]éves besz.bevételei2016'!BO48</f>
        <v>-1378</v>
      </c>
    </row>
    <row r="49" spans="1:51" s="1836" customFormat="1" ht="49.5" customHeight="1" thickBot="1" x14ac:dyDescent="0.65">
      <c r="A49" s="1973" t="s">
        <v>1166</v>
      </c>
      <c r="B49" s="1966">
        <f>B38+B41+B44+B48</f>
        <v>1620726</v>
      </c>
      <c r="C49" s="1966">
        <f>C38+C41+C44+C48</f>
        <v>1903447</v>
      </c>
      <c r="D49" s="1966">
        <f>D38+D41+D44+D48</f>
        <v>1820915</v>
      </c>
      <c r="E49" s="1954">
        <f t="shared" si="21"/>
        <v>0.95664076803819598</v>
      </c>
      <c r="F49" s="1966">
        <f>F38+F41+F44+F48</f>
        <v>464052</v>
      </c>
      <c r="G49" s="1966">
        <f>G38+G41+G44+G48</f>
        <v>537811</v>
      </c>
      <c r="H49" s="1966">
        <f>H38+H41+H44+H48</f>
        <v>513530</v>
      </c>
      <c r="I49" s="1954">
        <f t="shared" si="22"/>
        <v>0.95485216925648597</v>
      </c>
      <c r="J49" s="1966">
        <f>J38+J41+J44+J48</f>
        <v>1145664</v>
      </c>
      <c r="K49" s="1966">
        <f>K38+K41+K44+K48</f>
        <v>1669666</v>
      </c>
      <c r="L49" s="1966">
        <f>L38+L41+L44+L48</f>
        <v>1488180</v>
      </c>
      <c r="M49" s="1954">
        <f t="shared" si="23"/>
        <v>0.89130400930485498</v>
      </c>
      <c r="N49" s="1973" t="s">
        <v>1166</v>
      </c>
      <c r="O49" s="1966">
        <f>O38+O41+O44+O48</f>
        <v>0</v>
      </c>
      <c r="P49" s="1966">
        <f>P38+P41+P44+P48</f>
        <v>0</v>
      </c>
      <c r="Q49" s="1966">
        <f>Q38+Q41+Q44+Q48</f>
        <v>0</v>
      </c>
      <c r="R49" s="1954"/>
      <c r="S49" s="1966">
        <f>S38+S41+S44+S48</f>
        <v>30509</v>
      </c>
      <c r="T49" s="1966">
        <f>T38+T41+T44+T48</f>
        <v>58831</v>
      </c>
      <c r="U49" s="1966">
        <f>U38+U41+U44+U48</f>
        <v>57606</v>
      </c>
      <c r="V49" s="1954">
        <f t="shared" ref="V49:V54" si="32">U49/T49</f>
        <v>0.97917764443915623</v>
      </c>
      <c r="W49" s="1966">
        <f>W38+W41+W44+W48</f>
        <v>3260951</v>
      </c>
      <c r="X49" s="1966">
        <f>X38+X41+X44+X48</f>
        <v>4169755</v>
      </c>
      <c r="Y49" s="1966">
        <f>Y38+Y41+Y44+Y48</f>
        <v>3880231</v>
      </c>
      <c r="Z49" s="1954">
        <f t="shared" si="25"/>
        <v>0.93056570469967659</v>
      </c>
      <c r="AA49" s="1973" t="s">
        <v>1166</v>
      </c>
      <c r="AB49" s="1966">
        <f>AB38+AB41+AB44+AB48</f>
        <v>10473</v>
      </c>
      <c r="AC49" s="1966">
        <f>AC38+AC41+AC44+AC48</f>
        <v>179937</v>
      </c>
      <c r="AD49" s="1966">
        <f>AD38+AD41+AD44+AD48</f>
        <v>143928</v>
      </c>
      <c r="AE49" s="1954">
        <f t="shared" si="26"/>
        <v>0.79987995798529488</v>
      </c>
      <c r="AF49" s="1966">
        <f>AF38+AF41+AF44+AF48</f>
        <v>2500</v>
      </c>
      <c r="AG49" s="1966">
        <f>AG38+AG41+AG44+AG48</f>
        <v>29796</v>
      </c>
      <c r="AH49" s="1966">
        <f>AH38+AH41+AH44+AH48</f>
        <v>21883</v>
      </c>
      <c r="AI49" s="1954">
        <f t="shared" si="27"/>
        <v>0.73442743992482218</v>
      </c>
      <c r="AJ49" s="1966">
        <f>AJ38+AJ41+AJ44+AJ48</f>
        <v>12500</v>
      </c>
      <c r="AK49" s="1966">
        <f>AK38+AK41+AK44+AK48</f>
        <v>0</v>
      </c>
      <c r="AL49" s="1966">
        <f>AL38+AL41+AL44+AL48</f>
        <v>0</v>
      </c>
      <c r="AM49" s="1954"/>
      <c r="AN49" s="1973" t="s">
        <v>1166</v>
      </c>
      <c r="AO49" s="1966">
        <f>AO38+AO41+AO44+AO48</f>
        <v>25473</v>
      </c>
      <c r="AP49" s="1966">
        <f>AP38+AP41+AP44+AP48</f>
        <v>209733</v>
      </c>
      <c r="AQ49" s="1966">
        <f>AQ38+AQ41+AQ44+AQ48</f>
        <v>165811</v>
      </c>
      <c r="AR49" s="1954">
        <f t="shared" si="29"/>
        <v>0.79058135820304865</v>
      </c>
      <c r="AS49" s="1966">
        <f>AS38+AS41+AS44+AS48</f>
        <v>3286424</v>
      </c>
      <c r="AT49" s="1966">
        <f>AT38+AT41+AT44+AT48</f>
        <v>4379488</v>
      </c>
      <c r="AU49" s="1966">
        <f>AU38+AU41+AU44+AU48</f>
        <v>4046042</v>
      </c>
      <c r="AV49" s="1954">
        <f t="shared" si="31"/>
        <v>0.92386187609145176</v>
      </c>
      <c r="AW49" s="1947">
        <f>AS49-'[6]éves besz.bevételei2016'!BM49</f>
        <v>0</v>
      </c>
      <c r="AX49" s="1947">
        <f>AT49-'[6]éves besz.bevételei2016'!BN49</f>
        <v>0</v>
      </c>
      <c r="AY49" s="1947">
        <f>AU49-'[6]éves besz.bevételei2016'!BO49</f>
        <v>-140334</v>
      </c>
    </row>
    <row r="50" spans="1:51" s="1836" customFormat="1" ht="49.5" customHeight="1" thickBot="1" x14ac:dyDescent="0.65">
      <c r="A50" s="1974" t="s">
        <v>1358</v>
      </c>
      <c r="B50" s="1966">
        <f>B30</f>
        <v>1511749</v>
      </c>
      <c r="C50" s="1966">
        <f>C30</f>
        <v>1617983</v>
      </c>
      <c r="D50" s="1966">
        <f>D30</f>
        <v>1523507</v>
      </c>
      <c r="E50" s="1951">
        <f t="shared" si="21"/>
        <v>0.94160878080919264</v>
      </c>
      <c r="F50" s="1966">
        <f>F30</f>
        <v>424945</v>
      </c>
      <c r="G50" s="1966">
        <f>G30</f>
        <v>453417</v>
      </c>
      <c r="H50" s="1966">
        <f>H30</f>
        <v>427580</v>
      </c>
      <c r="I50" s="1951">
        <f t="shared" si="22"/>
        <v>0.94301713433770684</v>
      </c>
      <c r="J50" s="1966">
        <f>J30</f>
        <v>1526989</v>
      </c>
      <c r="K50" s="1966">
        <f>K30</f>
        <v>1620481</v>
      </c>
      <c r="L50" s="1966">
        <f>L30</f>
        <v>1436613</v>
      </c>
      <c r="M50" s="1951">
        <f t="shared" si="23"/>
        <v>0.88653492388988209</v>
      </c>
      <c r="N50" s="1974" t="s">
        <v>1358</v>
      </c>
      <c r="O50" s="1966">
        <f>O30</f>
        <v>0</v>
      </c>
      <c r="P50" s="1966">
        <f>P30</f>
        <v>0</v>
      </c>
      <c r="Q50" s="1966">
        <f>Q30</f>
        <v>0</v>
      </c>
      <c r="R50" s="1951"/>
      <c r="S50" s="1966">
        <f>S30</f>
        <v>0</v>
      </c>
      <c r="T50" s="1966">
        <f>T30</f>
        <v>70</v>
      </c>
      <c r="U50" s="1966">
        <f>U30</f>
        <v>70</v>
      </c>
      <c r="V50" s="1951"/>
      <c r="W50" s="1966">
        <f>W30</f>
        <v>3463683</v>
      </c>
      <c r="X50" s="1966">
        <f>X30</f>
        <v>3691951</v>
      </c>
      <c r="Y50" s="1966">
        <f>Y30</f>
        <v>3387770</v>
      </c>
      <c r="Z50" s="1951">
        <f t="shared" si="25"/>
        <v>0.91760968658576458</v>
      </c>
      <c r="AA50" s="1974" t="s">
        <v>1358</v>
      </c>
      <c r="AB50" s="1966">
        <f>AB30</f>
        <v>0</v>
      </c>
      <c r="AC50" s="1966">
        <f>AC30</f>
        <v>144222</v>
      </c>
      <c r="AD50" s="1966">
        <f>AD30</f>
        <v>139677</v>
      </c>
      <c r="AE50" s="1951">
        <f t="shared" si="26"/>
        <v>0.96848608395390434</v>
      </c>
      <c r="AF50" s="1966">
        <f>AF30</f>
        <v>0</v>
      </c>
      <c r="AG50" s="1966">
        <f>AG30</f>
        <v>149364</v>
      </c>
      <c r="AH50" s="1966">
        <f>AH30</f>
        <v>144607</v>
      </c>
      <c r="AI50" s="1951">
        <f t="shared" si="27"/>
        <v>0.96815162957606915</v>
      </c>
      <c r="AJ50" s="1966">
        <f>AJ30</f>
        <v>0</v>
      </c>
      <c r="AK50" s="1966">
        <f>AK30</f>
        <v>0</v>
      </c>
      <c r="AL50" s="1966">
        <f>AL30</f>
        <v>0</v>
      </c>
      <c r="AM50" s="1951"/>
      <c r="AN50" s="1974" t="s">
        <v>1358</v>
      </c>
      <c r="AO50" s="1966">
        <f>AO30</f>
        <v>0</v>
      </c>
      <c r="AP50" s="1966">
        <f>AP30</f>
        <v>293586</v>
      </c>
      <c r="AQ50" s="1966">
        <f>AQ30</f>
        <v>284284</v>
      </c>
      <c r="AR50" s="1951">
        <f t="shared" si="29"/>
        <v>0.96831592787122001</v>
      </c>
      <c r="AS50" s="1966">
        <f>AS30</f>
        <v>3463683</v>
      </c>
      <c r="AT50" s="1966">
        <f>AT30</f>
        <v>3985537</v>
      </c>
      <c r="AU50" s="1966">
        <f>AU30</f>
        <v>3672054</v>
      </c>
      <c r="AV50" s="1951">
        <f t="shared" si="31"/>
        <v>0.92134485265097277</v>
      </c>
      <c r="AW50" s="1947">
        <f>AS50-'[6]éves besz.bevételei2016'!BM50</f>
        <v>0</v>
      </c>
      <c r="AX50" s="1947">
        <f>AT50-'[6]éves besz.bevételei2016'!BN50</f>
        <v>0</v>
      </c>
      <c r="AY50" s="1947">
        <f>AU50-'[6]éves besz.bevételei2016'!BO50</f>
        <v>-8730</v>
      </c>
    </row>
    <row r="51" spans="1:51" s="1836" customFormat="1" ht="49.5" customHeight="1" thickBot="1" x14ac:dyDescent="0.65">
      <c r="A51" s="1975" t="s">
        <v>1167</v>
      </c>
      <c r="B51" s="1953">
        <f>SUM(B49:B50)</f>
        <v>3132475</v>
      </c>
      <c r="C51" s="1953">
        <f>SUM(C49:C50)</f>
        <v>3521430</v>
      </c>
      <c r="D51" s="1953">
        <f>SUM(D49:D50)</f>
        <v>3344422</v>
      </c>
      <c r="E51" s="1954">
        <f t="shared" si="21"/>
        <v>0.94973405690301949</v>
      </c>
      <c r="F51" s="1953">
        <f>SUM(F49:F50)</f>
        <v>888997</v>
      </c>
      <c r="G51" s="1953">
        <f>SUM(G49:G50)</f>
        <v>991228</v>
      </c>
      <c r="H51" s="1953">
        <f>SUM(H49:H50)</f>
        <v>941110</v>
      </c>
      <c r="I51" s="1954">
        <f t="shared" si="22"/>
        <v>0.94943847429652917</v>
      </c>
      <c r="J51" s="1953">
        <f>SUM(J49:J50)</f>
        <v>2672653</v>
      </c>
      <c r="K51" s="1953">
        <f>SUM(K49:K50)</f>
        <v>3290147</v>
      </c>
      <c r="L51" s="1953">
        <f>SUM(L49:L50)</f>
        <v>2924793</v>
      </c>
      <c r="M51" s="1954">
        <f t="shared" si="23"/>
        <v>0.88895511355571655</v>
      </c>
      <c r="N51" s="1975" t="s">
        <v>1167</v>
      </c>
      <c r="O51" s="1953">
        <f>SUM(O49:O50)</f>
        <v>0</v>
      </c>
      <c r="P51" s="1953">
        <f>SUM(P49:P50)</f>
        <v>0</v>
      </c>
      <c r="Q51" s="1953">
        <f>SUM(Q49:Q50)</f>
        <v>0</v>
      </c>
      <c r="R51" s="1954"/>
      <c r="S51" s="1953">
        <f>SUM(S49:S50)</f>
        <v>30509</v>
      </c>
      <c r="T51" s="1953">
        <f>SUM(T49:T50)</f>
        <v>58901</v>
      </c>
      <c r="U51" s="1953">
        <f>SUM(U49:U50)</f>
        <v>57676</v>
      </c>
      <c r="V51" s="1954">
        <f t="shared" si="32"/>
        <v>0.97920239045177504</v>
      </c>
      <c r="W51" s="1953">
        <f>SUM(W49:W50)</f>
        <v>6724634</v>
      </c>
      <c r="X51" s="1953">
        <f>SUM(X49:X50)</f>
        <v>7861706</v>
      </c>
      <c r="Y51" s="1953">
        <f>SUM(Y49:Y50)</f>
        <v>7268001</v>
      </c>
      <c r="Z51" s="1954">
        <f t="shared" si="25"/>
        <v>0.92448140390902434</v>
      </c>
      <c r="AA51" s="1975" t="s">
        <v>1167</v>
      </c>
      <c r="AB51" s="1953">
        <f>SUM(AB49:AB50)</f>
        <v>10473</v>
      </c>
      <c r="AC51" s="1953">
        <f>SUM(AC49:AC50)</f>
        <v>324159</v>
      </c>
      <c r="AD51" s="1953">
        <f>SUM(AD49:AD50)</f>
        <v>283605</v>
      </c>
      <c r="AE51" s="1954">
        <f t="shared" si="26"/>
        <v>0.87489472758738762</v>
      </c>
      <c r="AF51" s="1953">
        <f>SUM(AF49:AF50)</f>
        <v>2500</v>
      </c>
      <c r="AG51" s="1953">
        <f>SUM(AG49:AG50)</f>
        <v>179160</v>
      </c>
      <c r="AH51" s="1953">
        <f>SUM(AH49:AH50)</f>
        <v>166490</v>
      </c>
      <c r="AI51" s="1954">
        <f t="shared" si="27"/>
        <v>0.92928108952891275</v>
      </c>
      <c r="AJ51" s="1953">
        <f>SUM(AJ49:AJ50)</f>
        <v>12500</v>
      </c>
      <c r="AK51" s="1953">
        <f>SUM(AK49:AK50)</f>
        <v>0</v>
      </c>
      <c r="AL51" s="1953">
        <f>SUM(AL49:AL50)</f>
        <v>0</v>
      </c>
      <c r="AM51" s="1954"/>
      <c r="AN51" s="1975" t="s">
        <v>1167</v>
      </c>
      <c r="AO51" s="1953">
        <f>SUM(AO49:AO50)</f>
        <v>25473</v>
      </c>
      <c r="AP51" s="1953">
        <f>SUM(AP49:AP50)</f>
        <v>503319</v>
      </c>
      <c r="AQ51" s="1953">
        <f>SUM(AQ49:AQ50)</f>
        <v>450095</v>
      </c>
      <c r="AR51" s="1954">
        <f t="shared" si="29"/>
        <v>0.89425394233080813</v>
      </c>
      <c r="AS51" s="1953">
        <f>SUM(AS49:AS50)</f>
        <v>6750107</v>
      </c>
      <c r="AT51" s="1953">
        <f>SUM(AT49:AT50)</f>
        <v>8365025</v>
      </c>
      <c r="AU51" s="1953">
        <f>SUM(AU49:AU50)</f>
        <v>7718096</v>
      </c>
      <c r="AV51" s="1954">
        <f t="shared" si="31"/>
        <v>0.92266263400288706</v>
      </c>
      <c r="AW51" s="1947">
        <f>AS51-'[6]éves besz.bevételei2016'!BM51</f>
        <v>0</v>
      </c>
      <c r="AX51" s="1947">
        <f>AT51-'[6]éves besz.bevételei2016'!BN51</f>
        <v>0</v>
      </c>
      <c r="AY51" s="1947">
        <f>AU51-'[6]éves besz.bevételei2016'!BO51</f>
        <v>-149064</v>
      </c>
    </row>
    <row r="52" spans="1:51" s="1836" customFormat="1" ht="49.5" customHeight="1" x14ac:dyDescent="0.6">
      <c r="A52" s="1968" t="s">
        <v>1359</v>
      </c>
      <c r="B52" s="1976">
        <f>[4]int.kiadások2016!B51</f>
        <v>124676</v>
      </c>
      <c r="C52" s="1976">
        <f>'[5]int.kiadások RM V '!D52</f>
        <v>130455</v>
      </c>
      <c r="D52" s="1976">
        <v>117980</v>
      </c>
      <c r="E52" s="1977">
        <f t="shared" si="21"/>
        <v>0.9043731554942317</v>
      </c>
      <c r="F52" s="1976">
        <f>[4]int.kiadások2016!C51</f>
        <v>35155</v>
      </c>
      <c r="G52" s="1976">
        <f>'[5]int.kiadások RM V '!G52</f>
        <v>36771</v>
      </c>
      <c r="H52" s="1976">
        <v>33697</v>
      </c>
      <c r="I52" s="1977">
        <f t="shared" si="22"/>
        <v>0.91640151206113518</v>
      </c>
      <c r="J52" s="1976">
        <f>[4]int.kiadások2016!D51</f>
        <v>31395</v>
      </c>
      <c r="K52" s="1976">
        <f>'[5]int.kiadások RM V '!J52</f>
        <v>32557</v>
      </c>
      <c r="L52" s="1976">
        <v>26381</v>
      </c>
      <c r="M52" s="1977">
        <f t="shared" si="23"/>
        <v>0.81030193199619127</v>
      </c>
      <c r="N52" s="1968" t="s">
        <v>1359</v>
      </c>
      <c r="O52" s="1968"/>
      <c r="P52" s="1968"/>
      <c r="Q52" s="1968"/>
      <c r="R52" s="1977"/>
      <c r="S52" s="1968"/>
      <c r="T52" s="1968"/>
      <c r="U52" s="1968"/>
      <c r="V52" s="1977"/>
      <c r="W52" s="1976">
        <f t="shared" ref="W52:Y53" si="33">B52+F52+J52+O52+S52</f>
        <v>191226</v>
      </c>
      <c r="X52" s="1976">
        <f t="shared" si="33"/>
        <v>199783</v>
      </c>
      <c r="Y52" s="1976">
        <f t="shared" si="33"/>
        <v>178058</v>
      </c>
      <c r="Z52" s="1977">
        <f t="shared" si="25"/>
        <v>0.89125701386003819</v>
      </c>
      <c r="AA52" s="1968" t="s">
        <v>1359</v>
      </c>
      <c r="AB52" s="1976">
        <f>[4]int.kiadások2016!I51</f>
        <v>1000</v>
      </c>
      <c r="AC52" s="1976">
        <f>'[5]int.kiadások RM V '!X52</f>
        <v>4460</v>
      </c>
      <c r="AD52" s="1976">
        <v>3963</v>
      </c>
      <c r="AE52" s="1977">
        <f t="shared" si="26"/>
        <v>0.88856502242152469</v>
      </c>
      <c r="AF52" s="1968"/>
      <c r="AG52" s="1976">
        <f>'[5]int.kiadások RM V '!AA52</f>
        <v>248</v>
      </c>
      <c r="AH52" s="1976">
        <v>216</v>
      </c>
      <c r="AI52" s="1977">
        <f t="shared" si="27"/>
        <v>0.87096774193548387</v>
      </c>
      <c r="AJ52" s="1968"/>
      <c r="AK52" s="1968"/>
      <c r="AL52" s="1968"/>
      <c r="AM52" s="1968"/>
      <c r="AN52" s="1968" t="s">
        <v>1359</v>
      </c>
      <c r="AO52" s="1976">
        <f t="shared" ref="AO52:AQ53" si="34">AB52+AF52+AJ52</f>
        <v>1000</v>
      </c>
      <c r="AP52" s="1976">
        <f t="shared" si="34"/>
        <v>4708</v>
      </c>
      <c r="AQ52" s="1976">
        <f t="shared" si="34"/>
        <v>4179</v>
      </c>
      <c r="AR52" s="1977">
        <f t="shared" si="29"/>
        <v>0.88763806287170777</v>
      </c>
      <c r="AS52" s="1976">
        <f t="shared" ref="AS52:AU53" si="35">W52+AO52</f>
        <v>192226</v>
      </c>
      <c r="AT52" s="1976">
        <f t="shared" si="35"/>
        <v>204491</v>
      </c>
      <c r="AU52" s="1976">
        <f t="shared" si="35"/>
        <v>182237</v>
      </c>
      <c r="AV52" s="1977">
        <f t="shared" si="31"/>
        <v>0.89117369468582974</v>
      </c>
      <c r="AW52" s="1976">
        <f>AS52-'[6]éves besz.bevételei2016'!BM52</f>
        <v>0</v>
      </c>
      <c r="AX52" s="1976">
        <f>AT52-'[6]éves besz.bevételei2016'!BN52</f>
        <v>0</v>
      </c>
      <c r="AY52" s="1976">
        <f>AU52-'[6]éves besz.bevételei2016'!BO52</f>
        <v>-2866</v>
      </c>
    </row>
    <row r="53" spans="1:51" s="1836" customFormat="1" ht="49.5" customHeight="1" thickBot="1" x14ac:dyDescent="0.65">
      <c r="A53" s="1969" t="s">
        <v>87</v>
      </c>
      <c r="B53" s="1978">
        <f>[4]int.kiadások2016!B52</f>
        <v>1068593</v>
      </c>
      <c r="C53" s="1978">
        <f>'[5]int.kiadások RM V '!D53</f>
        <v>1106723</v>
      </c>
      <c r="D53" s="1978">
        <v>982876</v>
      </c>
      <c r="E53" s="1955">
        <f t="shared" si="21"/>
        <v>0.88809575657142759</v>
      </c>
      <c r="F53" s="1978">
        <f>[4]int.kiadások2016!C52</f>
        <v>302605</v>
      </c>
      <c r="G53" s="1978">
        <f>'[5]int.kiadások RM V '!G53</f>
        <v>310941</v>
      </c>
      <c r="H53" s="1978">
        <v>281233</v>
      </c>
      <c r="I53" s="1955">
        <f t="shared" si="22"/>
        <v>0.90445775886743784</v>
      </c>
      <c r="J53" s="1978">
        <f>[4]int.kiadások2016!D52</f>
        <v>326285</v>
      </c>
      <c r="K53" s="1978">
        <f>'[5]int.kiadások RM V '!J53</f>
        <v>356307</v>
      </c>
      <c r="L53" s="1978">
        <v>265763</v>
      </c>
      <c r="M53" s="1955">
        <f t="shared" si="23"/>
        <v>0.74588206237879129</v>
      </c>
      <c r="N53" s="1969" t="s">
        <v>87</v>
      </c>
      <c r="O53" s="1969"/>
      <c r="P53" s="1969"/>
      <c r="Q53" s="1969"/>
      <c r="R53" s="1955"/>
      <c r="S53" s="1978">
        <f>[4]int.kiadások2016!$F$52</f>
        <v>2500</v>
      </c>
      <c r="T53" s="1978">
        <f>'[5]int.kiadások RM V '!$Q$53</f>
        <v>2500</v>
      </c>
      <c r="U53" s="1978">
        <v>2500</v>
      </c>
      <c r="V53" s="1955">
        <f t="shared" si="32"/>
        <v>1</v>
      </c>
      <c r="W53" s="1978">
        <f t="shared" si="33"/>
        <v>1699983</v>
      </c>
      <c r="X53" s="1978">
        <f t="shared" si="33"/>
        <v>1776471</v>
      </c>
      <c r="Y53" s="1978">
        <f t="shared" si="33"/>
        <v>1532372</v>
      </c>
      <c r="Z53" s="1955">
        <f t="shared" si="25"/>
        <v>0.86259330999492811</v>
      </c>
      <c r="AA53" s="1969" t="s">
        <v>87</v>
      </c>
      <c r="AB53" s="1978">
        <f>[4]int.kiadások2016!I52</f>
        <v>64800</v>
      </c>
      <c r="AC53" s="1978">
        <f>'[5]int.kiadások RM V '!X53</f>
        <v>111595</v>
      </c>
      <c r="AD53" s="1978">
        <v>75038</v>
      </c>
      <c r="AE53" s="1955">
        <f t="shared" si="26"/>
        <v>0.67241363860388015</v>
      </c>
      <c r="AF53" s="1969"/>
      <c r="AG53" s="1978">
        <f>'[5]int.kiadások RM V '!AA53</f>
        <v>753</v>
      </c>
      <c r="AH53" s="1978">
        <v>752</v>
      </c>
      <c r="AI53" s="1955">
        <f t="shared" si="27"/>
        <v>0.99867197875166003</v>
      </c>
      <c r="AJ53" s="1969"/>
      <c r="AK53" s="1969"/>
      <c r="AL53" s="1969"/>
      <c r="AM53" s="1969"/>
      <c r="AN53" s="1969" t="s">
        <v>87</v>
      </c>
      <c r="AO53" s="1978">
        <f t="shared" si="34"/>
        <v>64800</v>
      </c>
      <c r="AP53" s="1978">
        <f t="shared" si="34"/>
        <v>112348</v>
      </c>
      <c r="AQ53" s="1978">
        <f t="shared" si="34"/>
        <v>75790</v>
      </c>
      <c r="AR53" s="1955">
        <f t="shared" si="29"/>
        <v>0.67460034891586851</v>
      </c>
      <c r="AS53" s="1978">
        <f t="shared" si="35"/>
        <v>1764783</v>
      </c>
      <c r="AT53" s="1978">
        <f t="shared" si="35"/>
        <v>1888819</v>
      </c>
      <c r="AU53" s="1978">
        <f>Y53+AQ53</f>
        <v>1608162</v>
      </c>
      <c r="AV53" s="1955">
        <f t="shared" si="31"/>
        <v>0.85141138457417043</v>
      </c>
      <c r="AW53" s="1978">
        <f>AS53-'[6]éves besz.bevételei2016'!BM53</f>
        <v>0</v>
      </c>
      <c r="AX53" s="1978">
        <f>AT53-'[6]éves besz.bevételei2016'!BN53</f>
        <v>0</v>
      </c>
      <c r="AY53" s="1978">
        <f>AU53-'[6]éves besz.bevételei2016'!BO53</f>
        <v>-9477</v>
      </c>
    </row>
    <row r="54" spans="1:51" s="1836" customFormat="1" ht="49.5" customHeight="1" thickBot="1" x14ac:dyDescent="0.65">
      <c r="A54" s="1975" t="s">
        <v>261</v>
      </c>
      <c r="B54" s="1979">
        <f>SUM(B51:B53)</f>
        <v>4325744</v>
      </c>
      <c r="C54" s="1979">
        <f>SUM(C51:C53)</f>
        <v>4758608</v>
      </c>
      <c r="D54" s="1979">
        <f>SUM(D51:D53)</f>
        <v>4445278</v>
      </c>
      <c r="E54" s="1954">
        <f t="shared" si="21"/>
        <v>0.93415511426871056</v>
      </c>
      <c r="F54" s="1979">
        <f>SUM(F51:F53)</f>
        <v>1226757</v>
      </c>
      <c r="G54" s="1979">
        <f>SUM(G51:G53)</f>
        <v>1338940</v>
      </c>
      <c r="H54" s="1979">
        <f>SUM(H51:H53)</f>
        <v>1256040</v>
      </c>
      <c r="I54" s="1954">
        <f t="shared" si="22"/>
        <v>0.93808535109863023</v>
      </c>
      <c r="J54" s="1979">
        <f>SUM(J51:J53)</f>
        <v>3030333</v>
      </c>
      <c r="K54" s="1979">
        <f>SUM(K51:K53)</f>
        <v>3679011</v>
      </c>
      <c r="L54" s="1979">
        <f>SUM(L51:L53)</f>
        <v>3216937</v>
      </c>
      <c r="M54" s="1954">
        <f t="shared" si="23"/>
        <v>0.87440265875801948</v>
      </c>
      <c r="N54" s="1975" t="s">
        <v>261</v>
      </c>
      <c r="O54" s="1979">
        <f>SUM(O51:O53)</f>
        <v>0</v>
      </c>
      <c r="P54" s="1979">
        <f>SUM(P51:P53)</f>
        <v>0</v>
      </c>
      <c r="Q54" s="1979">
        <f>SUM(Q51:Q53)</f>
        <v>0</v>
      </c>
      <c r="R54" s="1954"/>
      <c r="S54" s="1979">
        <f>SUM(S51:S53)</f>
        <v>33009</v>
      </c>
      <c r="T54" s="1979">
        <f>SUM(T51:T53)</f>
        <v>61401</v>
      </c>
      <c r="U54" s="1979">
        <f>SUM(U51:U53)</f>
        <v>60176</v>
      </c>
      <c r="V54" s="1954">
        <f t="shared" si="32"/>
        <v>0.98004918486669601</v>
      </c>
      <c r="W54" s="1979">
        <f>SUM(W51:W53)</f>
        <v>8615843</v>
      </c>
      <c r="X54" s="1979">
        <f>SUM(X51:X53)</f>
        <v>9837960</v>
      </c>
      <c r="Y54" s="1979">
        <f>SUM(Y51:Y53)</f>
        <v>8978431</v>
      </c>
      <c r="Z54" s="1954">
        <f t="shared" si="25"/>
        <v>0.91263137886309764</v>
      </c>
      <c r="AA54" s="1975" t="s">
        <v>261</v>
      </c>
      <c r="AB54" s="1979">
        <f>SUM(AB51:AB53)</f>
        <v>76273</v>
      </c>
      <c r="AC54" s="1979">
        <f>SUM(AC51:AC53)</f>
        <v>440214</v>
      </c>
      <c r="AD54" s="1979">
        <f>SUM(AD51:AD53)</f>
        <v>362606</v>
      </c>
      <c r="AE54" s="1954">
        <f t="shared" si="26"/>
        <v>0.82370392581789764</v>
      </c>
      <c r="AF54" s="1979">
        <f>SUM(AF51:AF53)</f>
        <v>2500</v>
      </c>
      <c r="AG54" s="1979">
        <f>SUM(AG51:AG53)</f>
        <v>180161</v>
      </c>
      <c r="AH54" s="1979">
        <f>SUM(AH51:AH53)</f>
        <v>167458</v>
      </c>
      <c r="AI54" s="1954">
        <f t="shared" si="27"/>
        <v>0.92949084430037576</v>
      </c>
      <c r="AJ54" s="1979">
        <f>SUM(AJ51:AJ53)</f>
        <v>12500</v>
      </c>
      <c r="AK54" s="1979">
        <f>SUM(AK51:AK53)</f>
        <v>0</v>
      </c>
      <c r="AL54" s="1979">
        <f>SUM(AL51:AL53)</f>
        <v>0</v>
      </c>
      <c r="AM54" s="1980"/>
      <c r="AN54" s="1975" t="s">
        <v>261</v>
      </c>
      <c r="AO54" s="1979">
        <f>SUM(AO51:AO53)</f>
        <v>91273</v>
      </c>
      <c r="AP54" s="1979">
        <f>SUM(AP51:AP53)</f>
        <v>620375</v>
      </c>
      <c r="AQ54" s="1979">
        <f>SUM(AQ51:AQ53)</f>
        <v>530064</v>
      </c>
      <c r="AR54" s="1954">
        <f t="shared" si="29"/>
        <v>0.8544251460809994</v>
      </c>
      <c r="AS54" s="1979">
        <f>SUM(AS51:AS53)</f>
        <v>8707116</v>
      </c>
      <c r="AT54" s="1979">
        <f>SUM(AT51:AT53)</f>
        <v>10458335</v>
      </c>
      <c r="AU54" s="1979">
        <f>SUM(AU51:AU53)</f>
        <v>9508495</v>
      </c>
      <c r="AV54" s="1954">
        <f t="shared" si="31"/>
        <v>0.90917865989184699</v>
      </c>
      <c r="AW54" s="1980">
        <f>AS54-'[6]éves besz.bevételei2016'!BM54</f>
        <v>0</v>
      </c>
      <c r="AX54" s="1980">
        <f>AT54-'[6]éves besz.bevételei2016'!BN54</f>
        <v>0</v>
      </c>
      <c r="AY54" s="1980">
        <f>AU54-'[6]éves besz.bevételei2016'!BO54</f>
        <v>-161407</v>
      </c>
    </row>
    <row r="55" spans="1:51" s="1904" customFormat="1" ht="49.5" customHeight="1" thickBot="1" x14ac:dyDescent="0.35">
      <c r="A55" s="1900"/>
      <c r="B55" s="1901"/>
      <c r="C55" s="1901"/>
      <c r="D55" s="1901"/>
      <c r="E55" s="1901"/>
      <c r="F55" s="1901"/>
      <c r="G55" s="1901"/>
      <c r="H55" s="1901"/>
      <c r="I55" s="1901"/>
      <c r="J55" s="1901"/>
      <c r="K55" s="1901"/>
      <c r="L55" s="1901"/>
      <c r="M55" s="1901"/>
      <c r="N55" s="1900"/>
      <c r="O55" s="1901"/>
      <c r="P55" s="1901"/>
      <c r="Q55" s="1901"/>
      <c r="R55" s="1901"/>
      <c r="S55" s="1901"/>
      <c r="T55" s="1901"/>
      <c r="U55" s="1901"/>
      <c r="V55" s="1901"/>
      <c r="W55" s="1901"/>
      <c r="X55" s="1901"/>
      <c r="Y55" s="1901"/>
      <c r="Z55" s="1901"/>
      <c r="AA55" s="1902"/>
      <c r="AB55" s="1900"/>
      <c r="AC55" s="1900"/>
      <c r="AD55" s="1900"/>
      <c r="AE55" s="1900"/>
      <c r="AF55" s="1900"/>
      <c r="AG55" s="1900"/>
      <c r="AH55" s="1900"/>
      <c r="AI55" s="1900"/>
      <c r="AJ55" s="1900"/>
      <c r="AK55" s="1900"/>
      <c r="AL55" s="1900"/>
      <c r="AM55" s="1900"/>
      <c r="AN55" s="1902"/>
      <c r="AO55" s="1900"/>
      <c r="AP55" s="1900"/>
      <c r="AQ55" s="1900"/>
      <c r="AR55" s="1900"/>
      <c r="AS55" s="1900"/>
      <c r="AT55" s="1900"/>
      <c r="AU55" s="1903">
        <f>+D54+H54+L54+Q54+U54</f>
        <v>8978431</v>
      </c>
      <c r="AV55" s="1903">
        <f>+AD54+AH54+AL54</f>
        <v>530064</v>
      </c>
      <c r="AW55" s="1903">
        <f>+AU55+AV55</f>
        <v>9508495</v>
      </c>
      <c r="AX55" s="1903"/>
      <c r="AY55" s="1903"/>
    </row>
    <row r="56" spans="1:51" s="1910" customFormat="1" ht="49.5" customHeight="1" thickBot="1" x14ac:dyDescent="0.45">
      <c r="A56" s="1905"/>
      <c r="B56" s="1906">
        <f>[4]int.kiadások2016!$B$53</f>
        <v>4325744</v>
      </c>
      <c r="C56" s="1906">
        <f>'[5]int.kiadások RM V '!$D$54</f>
        <v>4758608</v>
      </c>
      <c r="D56" s="1906"/>
      <c r="E56" s="1906"/>
      <c r="F56" s="1906">
        <f>[4]int.kiadások2016!$C$53</f>
        <v>1226757</v>
      </c>
      <c r="G56" s="1906">
        <f>'[5]int.kiadások RM V '!$G$54</f>
        <v>1338940</v>
      </c>
      <c r="H56" s="1906"/>
      <c r="I56" s="1906"/>
      <c r="J56" s="1906">
        <f>[4]int.kiadások2016!$D$53</f>
        <v>3030333</v>
      </c>
      <c r="K56" s="1906">
        <f>'[5]int.kiadások RM V '!$J$54</f>
        <v>3679011</v>
      </c>
      <c r="L56" s="1906"/>
      <c r="M56" s="1906"/>
      <c r="N56" s="1905"/>
      <c r="O56" s="1906">
        <f>[4]int.kiadások2016!$E$53</f>
        <v>0</v>
      </c>
      <c r="P56" s="1906">
        <f>'[5]int.kiadások RM V '!$N$54</f>
        <v>0</v>
      </c>
      <c r="Q56" s="1906"/>
      <c r="R56" s="1906"/>
      <c r="S56" s="1906">
        <f>[4]int.kiadások2016!$F$53</f>
        <v>33009</v>
      </c>
      <c r="T56" s="1906">
        <f>'[5]int.kiadások RM V '!$Q$54</f>
        <v>61401</v>
      </c>
      <c r="U56" s="1906"/>
      <c r="V56" s="1906"/>
      <c r="W56" s="1906">
        <f>[4]int.kiadások2016!$G$53</f>
        <v>8615843</v>
      </c>
      <c r="X56" s="1906">
        <f>'[5]int.kiadások RM V '!$T$54</f>
        <v>9837960</v>
      </c>
      <c r="Y56" s="1906"/>
      <c r="Z56" s="1906"/>
      <c r="AA56" s="1907"/>
      <c r="AB56" s="1908">
        <f>[4]int.kiadások2016!$I$53</f>
        <v>76273</v>
      </c>
      <c r="AC56" s="1908">
        <f>'[5]int.kiadások RM V '!$X$54</f>
        <v>440214</v>
      </c>
      <c r="AD56" s="1905"/>
      <c r="AE56" s="1905"/>
      <c r="AF56" s="1908">
        <f>[4]int.kiadások2016!$J$53</f>
        <v>2500</v>
      </c>
      <c r="AG56" s="1908">
        <f>'[5]int.kiadások RM V '!$AA$54</f>
        <v>180161</v>
      </c>
      <c r="AH56" s="1905"/>
      <c r="AI56" s="1905"/>
      <c r="AJ56" s="1908">
        <f>[4]int.kiadások2016!$K$53</f>
        <v>12500</v>
      </c>
      <c r="AK56" s="1908">
        <f>'[5]int.kiadások RM V '!$AD$54</f>
        <v>0</v>
      </c>
      <c r="AL56" s="1905"/>
      <c r="AM56" s="1905"/>
      <c r="AN56" s="1907"/>
      <c r="AO56" s="1908">
        <f>[4]int.kiadások2016!$L$53</f>
        <v>91273</v>
      </c>
      <c r="AP56" s="1908">
        <f>'[5]int.kiadások RM V '!$AG$54</f>
        <v>620375</v>
      </c>
      <c r="AQ56" s="1908">
        <f>AD56+AH56+AL56</f>
        <v>0</v>
      </c>
      <c r="AR56" s="1905"/>
      <c r="AS56" s="1908">
        <f>[4]int.kiadások2016!$M$53</f>
        <v>8707116</v>
      </c>
      <c r="AT56" s="1908">
        <f>'[5]int.kiadások RM V '!$AJ$54</f>
        <v>10458335</v>
      </c>
      <c r="AU56" s="1909">
        <f>Y56+AQ56</f>
        <v>0</v>
      </c>
      <c r="AV56" s="1905"/>
      <c r="AW56" s="1908"/>
      <c r="AX56" s="1908"/>
      <c r="AY56" s="1908"/>
    </row>
    <row r="57" spans="1:51" s="1910" customFormat="1" ht="49.5" customHeight="1" x14ac:dyDescent="0.4">
      <c r="A57" s="1911"/>
      <c r="B57" s="1906">
        <f>B54-B56</f>
        <v>0</v>
      </c>
      <c r="C57" s="1906">
        <f>C54-C56</f>
        <v>0</v>
      </c>
      <c r="D57" s="1906">
        <f>D54-D56</f>
        <v>4445278</v>
      </c>
      <c r="E57" s="1906"/>
      <c r="F57" s="1906">
        <f>F54-F56</f>
        <v>0</v>
      </c>
      <c r="G57" s="1906">
        <f>G54-G56</f>
        <v>0</v>
      </c>
      <c r="H57" s="1906">
        <f>H54-H56</f>
        <v>1256040</v>
      </c>
      <c r="I57" s="1906"/>
      <c r="J57" s="1906">
        <f>J54-J56</f>
        <v>0</v>
      </c>
      <c r="K57" s="1906">
        <f>K54-K56</f>
        <v>0</v>
      </c>
      <c r="L57" s="1906">
        <f>L54-L56</f>
        <v>3216937</v>
      </c>
      <c r="M57" s="1906"/>
      <c r="N57" s="1906"/>
      <c r="O57" s="1906">
        <f>O54-O56</f>
        <v>0</v>
      </c>
      <c r="P57" s="1906">
        <f>P54-P56</f>
        <v>0</v>
      </c>
      <c r="Q57" s="1906">
        <f>Q54-Q56</f>
        <v>0</v>
      </c>
      <c r="R57" s="1906"/>
      <c r="S57" s="1906">
        <f>S54-S56</f>
        <v>0</v>
      </c>
      <c r="T57" s="1906">
        <f>T54-T56</f>
        <v>0</v>
      </c>
      <c r="U57" s="1906">
        <f>U54-U56</f>
        <v>60176</v>
      </c>
      <c r="V57" s="1906"/>
      <c r="W57" s="1906">
        <f>W54-W56</f>
        <v>0</v>
      </c>
      <c r="X57" s="1906">
        <f>X54-X56</f>
        <v>0</v>
      </c>
      <c r="Y57" s="1906">
        <f>Y54-Y56</f>
        <v>8978431</v>
      </c>
      <c r="Z57" s="1906"/>
      <c r="AA57" s="1906"/>
      <c r="AB57" s="1906">
        <f>AB54-AB56</f>
        <v>0</v>
      </c>
      <c r="AC57" s="1906">
        <f>AC54-AC56</f>
        <v>0</v>
      </c>
      <c r="AD57" s="1906">
        <f>AD54-AD56</f>
        <v>362606</v>
      </c>
      <c r="AE57" s="1906"/>
      <c r="AF57" s="1906">
        <f>AF54-AF56</f>
        <v>0</v>
      </c>
      <c r="AG57" s="1906">
        <f>AG54-AG56</f>
        <v>0</v>
      </c>
      <c r="AH57" s="1906">
        <f>AH54-AH56</f>
        <v>167458</v>
      </c>
      <c r="AI57" s="1906"/>
      <c r="AJ57" s="1906">
        <f>AJ54-AJ56</f>
        <v>0</v>
      </c>
      <c r="AK57" s="1906">
        <f>AK54-AK56</f>
        <v>0</v>
      </c>
      <c r="AL57" s="1906">
        <f>AL54-AL56</f>
        <v>0</v>
      </c>
      <c r="AM57" s="1906"/>
      <c r="AN57" s="1906"/>
      <c r="AO57" s="1906">
        <f>AO54-AO56</f>
        <v>0</v>
      </c>
      <c r="AP57" s="1906">
        <f>AP54-AP56</f>
        <v>0</v>
      </c>
      <c r="AQ57" s="1906">
        <f>AQ54-AQ56</f>
        <v>530064</v>
      </c>
      <c r="AR57" s="1906"/>
      <c r="AS57" s="1906">
        <f>AS54-AS56</f>
        <v>0</v>
      </c>
      <c r="AT57" s="1906">
        <f>AT54-AT56</f>
        <v>0</v>
      </c>
      <c r="AU57" s="1906">
        <f>AU54-AU56</f>
        <v>9508495</v>
      </c>
      <c r="AV57" s="1906"/>
      <c r="AW57" s="1906"/>
      <c r="AX57" s="1906"/>
      <c r="AY57" s="1906"/>
    </row>
    <row r="58" spans="1:51" ht="49.5" customHeight="1" x14ac:dyDescent="0.4">
      <c r="A58" s="1912"/>
      <c r="N58" s="1912"/>
      <c r="AA58" s="1913"/>
      <c r="AB58" s="1912"/>
      <c r="AC58" s="1912"/>
      <c r="AD58" s="1912"/>
      <c r="AE58" s="1912"/>
      <c r="AF58" s="1912"/>
      <c r="AG58" s="1912"/>
      <c r="AH58" s="1912"/>
      <c r="AI58" s="1912"/>
      <c r="AJ58" s="1912"/>
      <c r="AK58" s="1912"/>
      <c r="AL58" s="1912"/>
      <c r="AM58" s="1912"/>
      <c r="AN58" s="1913"/>
      <c r="AO58" s="1912"/>
      <c r="AP58" s="1912"/>
      <c r="AQ58" s="1912"/>
      <c r="AR58" s="1912"/>
      <c r="AS58" s="1912"/>
      <c r="AT58" s="1912"/>
      <c r="AU58" s="1912"/>
      <c r="AV58" s="1912"/>
      <c r="AW58" s="1914"/>
      <c r="AX58" s="1914"/>
      <c r="AY58" s="1914"/>
    </row>
    <row r="59" spans="1:51" ht="49.5" customHeight="1" x14ac:dyDescent="0.4">
      <c r="A59" s="1912"/>
      <c r="N59" s="1912"/>
      <c r="AA59" s="1913"/>
      <c r="AB59" s="1912"/>
      <c r="AC59" s="1912"/>
      <c r="AD59" s="1912"/>
      <c r="AE59" s="1912"/>
      <c r="AF59" s="1912"/>
      <c r="AG59" s="1912"/>
      <c r="AH59" s="1912"/>
      <c r="AI59" s="1912"/>
      <c r="AJ59" s="1912"/>
      <c r="AK59" s="1912"/>
      <c r="AL59" s="1912"/>
      <c r="AM59" s="1912"/>
      <c r="AN59" s="1913"/>
      <c r="AO59" s="1912"/>
      <c r="AP59" s="1912"/>
      <c r="AQ59" s="1912"/>
      <c r="AR59" s="1912"/>
      <c r="AS59" s="1912"/>
      <c r="AT59" s="1912"/>
      <c r="AU59" s="1912"/>
      <c r="AV59" s="1912"/>
      <c r="AW59" s="1914"/>
      <c r="AX59" s="1914"/>
      <c r="AY59" s="1914"/>
    </row>
    <row r="60" spans="1:51" ht="49.5" customHeight="1" x14ac:dyDescent="0.4">
      <c r="A60" s="1912"/>
      <c r="N60" s="1912"/>
      <c r="AA60" s="1913"/>
      <c r="AB60" s="1912"/>
      <c r="AC60" s="1912"/>
      <c r="AD60" s="1912"/>
      <c r="AE60" s="1912"/>
      <c r="AF60" s="1912"/>
      <c r="AG60" s="1912"/>
      <c r="AH60" s="1912"/>
      <c r="AI60" s="1912"/>
      <c r="AJ60" s="1912"/>
      <c r="AK60" s="1912"/>
      <c r="AL60" s="1912"/>
      <c r="AM60" s="1912"/>
      <c r="AN60" s="1913"/>
      <c r="AO60" s="1912"/>
      <c r="AP60" s="1912"/>
      <c r="AQ60" s="1912"/>
      <c r="AR60" s="1912"/>
      <c r="AS60" s="1912"/>
      <c r="AT60" s="1912"/>
      <c r="AU60" s="1912"/>
      <c r="AV60" s="1912"/>
      <c r="AW60" s="1914"/>
      <c r="AX60" s="1914"/>
      <c r="AY60" s="1914"/>
    </row>
    <row r="61" spans="1:51" ht="49.5" customHeight="1" x14ac:dyDescent="0.3"/>
    <row r="62" spans="1:51" ht="49.5" customHeight="1" x14ac:dyDescent="0.3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&amp;R&amp;26
&amp;"Times New Roman CE,Félkövér"&amp;40 6. melléklet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06"/>
  <sheetViews>
    <sheetView zoomScale="40" zoomScaleNormal="40" zoomScaleSheetLayoutView="50" workbookViewId="0">
      <pane xSplit="1" ySplit="7" topLeftCell="B26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ColWidth="12" defaultRowHeight="33.75" x14ac:dyDescent="0.5"/>
  <cols>
    <col min="1" max="1" width="178.6640625" style="1915" customWidth="1"/>
    <col min="2" max="2" width="69.6640625" style="1919" customWidth="1"/>
    <col min="3" max="3" width="51.5" style="1936" customWidth="1"/>
    <col min="4" max="4" width="71.5" style="1919" customWidth="1"/>
    <col min="5" max="5" width="65.33203125" style="1936" customWidth="1"/>
    <col min="6" max="6" width="68.1640625" style="1919" customWidth="1"/>
    <col min="7" max="7" width="49.33203125" style="1919" customWidth="1"/>
    <col min="8" max="8" width="12" style="1919" customWidth="1"/>
    <col min="9" max="9" width="22.5" style="1920" customWidth="1"/>
    <col min="10" max="16384" width="12" style="1919"/>
  </cols>
  <sheetData>
    <row r="1" spans="1:9" s="1984" customFormat="1" ht="45" customHeight="1" x14ac:dyDescent="0.65">
      <c r="A1" s="1983"/>
      <c r="B1" s="2644" t="s">
        <v>1369</v>
      </c>
      <c r="C1" s="2644"/>
      <c r="D1" s="2644"/>
      <c r="E1" s="2644"/>
      <c r="I1" s="1985"/>
    </row>
    <row r="2" spans="1:9" s="1984" customFormat="1" ht="44.25" customHeight="1" x14ac:dyDescent="0.65">
      <c r="A2" s="1986"/>
      <c r="B2" s="2645" t="s">
        <v>1370</v>
      </c>
      <c r="C2" s="2645"/>
      <c r="D2" s="2645"/>
      <c r="E2" s="2645"/>
      <c r="I2" s="1985"/>
    </row>
    <row r="3" spans="1:9" ht="44.25" customHeight="1" thickBot="1" x14ac:dyDescent="0.55000000000000004">
      <c r="A3" s="1916"/>
      <c r="B3" s="2646"/>
      <c r="C3" s="2646"/>
      <c r="D3" s="1917"/>
      <c r="E3" s="1918"/>
      <c r="F3" s="1917"/>
      <c r="G3" s="1917"/>
    </row>
    <row r="4" spans="1:9" s="1988" customFormat="1" ht="108.75" customHeight="1" thickBot="1" x14ac:dyDescent="0.55000000000000004">
      <c r="A4" s="1987"/>
      <c r="B4" s="2647" t="s">
        <v>1371</v>
      </c>
      <c r="C4" s="2648"/>
      <c r="D4" s="2648"/>
      <c r="E4" s="2649"/>
      <c r="F4" s="2650" t="s">
        <v>1372</v>
      </c>
      <c r="G4" s="2651"/>
      <c r="I4" s="1989"/>
    </row>
    <row r="5" spans="1:9" s="1988" customFormat="1" ht="45.75" customHeight="1" thickBot="1" x14ac:dyDescent="0.55000000000000004">
      <c r="A5" s="1921" t="s">
        <v>1373</v>
      </c>
      <c r="B5" s="2654" t="s">
        <v>1374</v>
      </c>
      <c r="C5" s="2655"/>
      <c r="D5" s="2656" t="s">
        <v>1375</v>
      </c>
      <c r="E5" s="2657"/>
      <c r="F5" s="2652"/>
      <c r="G5" s="2653"/>
      <c r="I5" s="1989"/>
    </row>
    <row r="6" spans="1:9" s="1988" customFormat="1" ht="42" customHeight="1" thickBot="1" x14ac:dyDescent="0.55000000000000004">
      <c r="A6" s="1921"/>
      <c r="B6" s="2658" t="s">
        <v>1376</v>
      </c>
      <c r="C6" s="2659"/>
      <c r="D6" s="2658" t="s">
        <v>1376</v>
      </c>
      <c r="E6" s="2659"/>
      <c r="F6" s="1990"/>
      <c r="G6" s="1990"/>
      <c r="I6" s="1989"/>
    </row>
    <row r="7" spans="1:9" s="1988" customFormat="1" ht="44.25" customHeight="1" thickBot="1" x14ac:dyDescent="0.55000000000000004">
      <c r="A7" s="1991"/>
      <c r="B7" s="1992" t="s">
        <v>1377</v>
      </c>
      <c r="C7" s="1993" t="s">
        <v>1378</v>
      </c>
      <c r="D7" s="1992" t="s">
        <v>1377</v>
      </c>
      <c r="E7" s="1993" t="s">
        <v>1378</v>
      </c>
      <c r="F7" s="1990" t="s">
        <v>1377</v>
      </c>
      <c r="G7" s="1990" t="s">
        <v>1379</v>
      </c>
      <c r="I7" s="1989"/>
    </row>
    <row r="8" spans="1:9" s="1998" customFormat="1" ht="90.75" customHeight="1" x14ac:dyDescent="0.6">
      <c r="A8" s="1994" t="s">
        <v>1091</v>
      </c>
      <c r="B8" s="1995"/>
      <c r="C8" s="1996"/>
      <c r="D8" s="1997"/>
      <c r="E8" s="1996"/>
      <c r="F8" s="1997"/>
      <c r="G8" s="1997"/>
      <c r="I8" s="1999"/>
    </row>
    <row r="9" spans="1:9" s="2005" customFormat="1" ht="49.5" customHeight="1" x14ac:dyDescent="0.6">
      <c r="A9" s="2000" t="s">
        <v>1097</v>
      </c>
      <c r="B9" s="2001">
        <f>'[7]létszám ei mód RM IV.'!F9</f>
        <v>32</v>
      </c>
      <c r="C9" s="2002">
        <f>'[7]létszám ei mód RM IV.'!G9</f>
        <v>32</v>
      </c>
      <c r="D9" s="2003">
        <f>'[7]létszám ei mód RM IV.'!L9</f>
        <v>1</v>
      </c>
      <c r="E9" s="2002">
        <f>'[7]létszám ei mód RM IV.'!M9</f>
        <v>1</v>
      </c>
      <c r="F9" s="2003">
        <f t="shared" ref="F9:G26" si="0">B9+D9</f>
        <v>33</v>
      </c>
      <c r="G9" s="2004">
        <f t="shared" si="0"/>
        <v>33</v>
      </c>
      <c r="I9" s="2006"/>
    </row>
    <row r="10" spans="1:9" s="2005" customFormat="1" ht="49.5" customHeight="1" x14ac:dyDescent="0.6">
      <c r="A10" s="2007" t="s">
        <v>1334</v>
      </c>
      <c r="B10" s="2008">
        <f>'[7]létszám ei mód RM IV.'!F10</f>
        <v>22</v>
      </c>
      <c r="C10" s="2009">
        <f>'[7]létszám ei mód RM IV.'!G10</f>
        <v>22</v>
      </c>
      <c r="D10" s="2008">
        <f>'[7]létszám ei mód RM IV.'!L10</f>
        <v>1</v>
      </c>
      <c r="E10" s="2009">
        <f>'[7]létszám ei mód RM IV.'!M10</f>
        <v>1</v>
      </c>
      <c r="F10" s="2010">
        <f t="shared" si="0"/>
        <v>23</v>
      </c>
      <c r="G10" s="2011">
        <f t="shared" si="0"/>
        <v>23</v>
      </c>
      <c r="I10" s="2006"/>
    </row>
    <row r="11" spans="1:9" s="2005" customFormat="1" ht="49.5" customHeight="1" x14ac:dyDescent="0.6">
      <c r="A11" s="2007" t="s">
        <v>1335</v>
      </c>
      <c r="B11" s="2001">
        <f>'[7]létszám ei mód RM IV.'!F11</f>
        <v>22</v>
      </c>
      <c r="C11" s="2012">
        <f>'[7]létszám ei mód RM IV.'!G11</f>
        <v>22</v>
      </c>
      <c r="D11" s="2003">
        <f>'[7]létszám ei mód RM IV.'!L11</f>
        <v>1</v>
      </c>
      <c r="E11" s="2012">
        <f>'[7]létszám ei mód RM IV.'!M11</f>
        <v>1</v>
      </c>
      <c r="F11" s="2013">
        <f t="shared" si="0"/>
        <v>23</v>
      </c>
      <c r="G11" s="2014">
        <f t="shared" si="0"/>
        <v>23</v>
      </c>
      <c r="I11" s="2006"/>
    </row>
    <row r="12" spans="1:9" s="2005" customFormat="1" ht="49.5" customHeight="1" x14ac:dyDescent="0.6">
      <c r="A12" s="2007" t="s">
        <v>1336</v>
      </c>
      <c r="B12" s="2008">
        <f>'[7]létszám ei mód RM IV.'!F12</f>
        <v>26</v>
      </c>
      <c r="C12" s="2002">
        <f>'[7]létszám ei mód RM IV.'!G12</f>
        <v>26</v>
      </c>
      <c r="D12" s="2008">
        <f>'[7]létszám ei mód RM IV.'!L12</f>
        <v>1</v>
      </c>
      <c r="E12" s="2002">
        <f>'[7]létszám ei mód RM IV.'!M12</f>
        <v>1</v>
      </c>
      <c r="F12" s="2003">
        <f t="shared" si="0"/>
        <v>27</v>
      </c>
      <c r="G12" s="2004">
        <f t="shared" si="0"/>
        <v>27</v>
      </c>
      <c r="I12" s="2006"/>
    </row>
    <row r="13" spans="1:9" s="2005" customFormat="1" ht="49.5" customHeight="1" x14ac:dyDescent="0.6">
      <c r="A13" s="2007" t="s">
        <v>1337</v>
      </c>
      <c r="B13" s="2008">
        <f>'[7]létszám ei mód RM IV.'!F13</f>
        <v>25</v>
      </c>
      <c r="C13" s="2009">
        <f>'[7]létszám ei mód RM IV.'!G13</f>
        <v>25</v>
      </c>
      <c r="D13" s="2008">
        <f>'[7]létszám ei mód RM IV.'!L13</f>
        <v>1</v>
      </c>
      <c r="E13" s="2009">
        <f>'[7]létszám ei mód RM IV.'!M13</f>
        <v>1</v>
      </c>
      <c r="F13" s="2010">
        <f t="shared" si="0"/>
        <v>26</v>
      </c>
      <c r="G13" s="2011">
        <f t="shared" si="0"/>
        <v>26</v>
      </c>
      <c r="I13" s="2006"/>
    </row>
    <row r="14" spans="1:9" s="2005" customFormat="1" ht="49.5" customHeight="1" x14ac:dyDescent="0.6">
      <c r="A14" s="2007" t="s">
        <v>1338</v>
      </c>
      <c r="B14" s="2008">
        <f>'[7]létszám ei mód RM IV.'!F14</f>
        <v>22.5</v>
      </c>
      <c r="C14" s="2012">
        <f>'[7]létszám ei mód RM IV.'!G14</f>
        <v>23</v>
      </c>
      <c r="D14" s="2008">
        <f>'[7]létszám ei mód RM IV.'!L14</f>
        <v>1</v>
      </c>
      <c r="E14" s="2012">
        <f>'[7]létszám ei mód RM IV.'!M14</f>
        <v>1</v>
      </c>
      <c r="F14" s="2013">
        <f t="shared" si="0"/>
        <v>23.5</v>
      </c>
      <c r="G14" s="2014">
        <f t="shared" si="0"/>
        <v>24</v>
      </c>
      <c r="I14" s="2006"/>
    </row>
    <row r="15" spans="1:9" s="2005" customFormat="1" ht="49.5" customHeight="1" x14ac:dyDescent="0.6">
      <c r="A15" s="2007" t="s">
        <v>1339</v>
      </c>
      <c r="B15" s="2008">
        <f>'[7]létszám ei mód RM IV.'!F15</f>
        <v>18</v>
      </c>
      <c r="C15" s="2009">
        <f>'[7]létszám ei mód RM IV.'!G15</f>
        <v>18</v>
      </c>
      <c r="D15" s="2008">
        <f>'[7]létszám ei mód RM IV.'!L15</f>
        <v>1</v>
      </c>
      <c r="E15" s="2009">
        <f>'[7]létszám ei mód RM IV.'!M15</f>
        <v>1</v>
      </c>
      <c r="F15" s="2010">
        <f t="shared" si="0"/>
        <v>19</v>
      </c>
      <c r="G15" s="2011">
        <f t="shared" si="0"/>
        <v>19</v>
      </c>
      <c r="I15" s="2006"/>
    </row>
    <row r="16" spans="1:9" s="2005" customFormat="1" ht="49.5" customHeight="1" x14ac:dyDescent="0.6">
      <c r="A16" s="2007" t="s">
        <v>1340</v>
      </c>
      <c r="B16" s="2008">
        <f>'[7]létszám ei mód RM IV.'!F16</f>
        <v>18</v>
      </c>
      <c r="C16" s="2012">
        <f>'[7]létszám ei mód RM IV.'!G16</f>
        <v>18</v>
      </c>
      <c r="D16" s="2008">
        <f>'[7]létszám ei mód RM IV.'!L16</f>
        <v>1</v>
      </c>
      <c r="E16" s="2012">
        <f>'[7]létszám ei mód RM IV.'!M16</f>
        <v>1</v>
      </c>
      <c r="F16" s="2013">
        <f t="shared" si="0"/>
        <v>19</v>
      </c>
      <c r="G16" s="2014">
        <f t="shared" si="0"/>
        <v>19</v>
      </c>
      <c r="I16" s="2006"/>
    </row>
    <row r="17" spans="1:9" s="2005" customFormat="1" ht="49.5" customHeight="1" x14ac:dyDescent="0.6">
      <c r="A17" s="2007" t="s">
        <v>1341</v>
      </c>
      <c r="B17" s="2008">
        <f>'[7]létszám ei mód RM IV.'!F17</f>
        <v>25</v>
      </c>
      <c r="C17" s="2009">
        <f>'[7]létszám ei mód RM IV.'!G17</f>
        <v>25</v>
      </c>
      <c r="D17" s="2008">
        <f>'[7]létszám ei mód RM IV.'!L17</f>
        <v>1</v>
      </c>
      <c r="E17" s="2009">
        <f>'[7]létszám ei mód RM IV.'!M17</f>
        <v>1</v>
      </c>
      <c r="F17" s="2010">
        <f t="shared" si="0"/>
        <v>26</v>
      </c>
      <c r="G17" s="2011">
        <f t="shared" si="0"/>
        <v>26</v>
      </c>
      <c r="I17" s="2006"/>
    </row>
    <row r="18" spans="1:9" s="2005" customFormat="1" ht="49.5" customHeight="1" x14ac:dyDescent="0.6">
      <c r="A18" s="2007" t="s">
        <v>1342</v>
      </c>
      <c r="B18" s="2008">
        <f>'[7]létszám ei mód RM IV.'!F18</f>
        <v>28</v>
      </c>
      <c r="C18" s="2012">
        <f>'[7]létszám ei mód RM IV.'!G18</f>
        <v>28</v>
      </c>
      <c r="D18" s="2008">
        <f>'[7]létszám ei mód RM IV.'!L18</f>
        <v>1</v>
      </c>
      <c r="E18" s="2012">
        <f>'[7]létszám ei mód RM IV.'!M18</f>
        <v>1</v>
      </c>
      <c r="F18" s="2013">
        <f t="shared" si="0"/>
        <v>29</v>
      </c>
      <c r="G18" s="2014">
        <f t="shared" si="0"/>
        <v>29</v>
      </c>
      <c r="I18" s="2006"/>
    </row>
    <row r="19" spans="1:9" s="2005" customFormat="1" ht="49.5" customHeight="1" x14ac:dyDescent="0.6">
      <c r="A19" s="2007" t="s">
        <v>1343</v>
      </c>
      <c r="B19" s="2008">
        <f>'[7]létszám ei mód RM IV.'!F19</f>
        <v>15</v>
      </c>
      <c r="C19" s="2009">
        <f>'[7]létszám ei mód RM IV.'!G19</f>
        <v>15</v>
      </c>
      <c r="D19" s="2008">
        <f>'[7]létszám ei mód RM IV.'!L19</f>
        <v>1</v>
      </c>
      <c r="E19" s="2009">
        <f>'[7]létszám ei mód RM IV.'!M19</f>
        <v>1</v>
      </c>
      <c r="F19" s="2010">
        <f t="shared" si="0"/>
        <v>16</v>
      </c>
      <c r="G19" s="2011">
        <f t="shared" si="0"/>
        <v>16</v>
      </c>
      <c r="I19" s="2006"/>
    </row>
    <row r="20" spans="1:9" s="2005" customFormat="1" ht="49.5" customHeight="1" x14ac:dyDescent="0.6">
      <c r="A20" s="2007" t="s">
        <v>1110</v>
      </c>
      <c r="B20" s="2008">
        <f>'[7]létszám ei mód RM IV.'!F20</f>
        <v>11.5</v>
      </c>
      <c r="C20" s="2012">
        <f>'[7]létszám ei mód RM IV.'!G20</f>
        <v>11</v>
      </c>
      <c r="D20" s="2008">
        <f>'[7]létszám ei mód RM IV.'!L20</f>
        <v>1</v>
      </c>
      <c r="E20" s="2012">
        <f>'[7]létszám ei mód RM IV.'!M20</f>
        <v>1</v>
      </c>
      <c r="F20" s="2013">
        <f t="shared" si="0"/>
        <v>12.5</v>
      </c>
      <c r="G20" s="2014">
        <f t="shared" si="0"/>
        <v>12</v>
      </c>
      <c r="I20" s="2006"/>
    </row>
    <row r="21" spans="1:9" s="2005" customFormat="1" ht="49.5" customHeight="1" x14ac:dyDescent="0.6">
      <c r="A21" s="2007" t="s">
        <v>1344</v>
      </c>
      <c r="B21" s="2008">
        <f>'[7]létszám ei mód RM IV.'!F21</f>
        <v>15</v>
      </c>
      <c r="C21" s="2009">
        <f>'[7]létszám ei mód RM IV.'!G21</f>
        <v>15</v>
      </c>
      <c r="D21" s="2008">
        <f>'[7]létszám ei mód RM IV.'!L21</f>
        <v>1</v>
      </c>
      <c r="E21" s="2009">
        <f>'[7]létszám ei mód RM IV.'!M21</f>
        <v>1</v>
      </c>
      <c r="F21" s="2010">
        <f t="shared" si="0"/>
        <v>16</v>
      </c>
      <c r="G21" s="2011">
        <f t="shared" si="0"/>
        <v>16</v>
      </c>
      <c r="I21" s="2006"/>
    </row>
    <row r="22" spans="1:9" s="2005" customFormat="1" ht="49.5" customHeight="1" x14ac:dyDescent="0.6">
      <c r="A22" s="2007" t="s">
        <v>1345</v>
      </c>
      <c r="B22" s="2008">
        <f>'[7]létszám ei mód RM IV.'!F22</f>
        <v>20</v>
      </c>
      <c r="C22" s="2012">
        <f>'[7]létszám ei mód RM IV.'!G22</f>
        <v>20</v>
      </c>
      <c r="D22" s="2008">
        <f>'[7]létszám ei mód RM IV.'!L22</f>
        <v>1</v>
      </c>
      <c r="E22" s="2012">
        <f>'[7]létszám ei mód RM IV.'!M22</f>
        <v>1</v>
      </c>
      <c r="F22" s="2013">
        <f t="shared" si="0"/>
        <v>21</v>
      </c>
      <c r="G22" s="2014">
        <f t="shared" si="0"/>
        <v>21</v>
      </c>
      <c r="I22" s="2006"/>
    </row>
    <row r="23" spans="1:9" s="2005" customFormat="1" ht="49.5" customHeight="1" x14ac:dyDescent="0.6">
      <c r="A23" s="2007" t="s">
        <v>1109</v>
      </c>
      <c r="B23" s="2008">
        <f>'[7]létszám ei mód RM IV.'!F23</f>
        <v>28</v>
      </c>
      <c r="C23" s="2009">
        <f>'[7]létszám ei mód RM IV.'!G23</f>
        <v>28</v>
      </c>
      <c r="D23" s="2008">
        <f>'[7]létszám ei mód RM IV.'!L23</f>
        <v>1</v>
      </c>
      <c r="E23" s="2009">
        <f>'[7]létszám ei mód RM IV.'!M23</f>
        <v>1</v>
      </c>
      <c r="F23" s="2010">
        <f t="shared" si="0"/>
        <v>29</v>
      </c>
      <c r="G23" s="2011">
        <f t="shared" si="0"/>
        <v>29</v>
      </c>
      <c r="I23" s="2006"/>
    </row>
    <row r="24" spans="1:9" s="2005" customFormat="1" ht="49.5" customHeight="1" x14ac:dyDescent="0.6">
      <c r="A24" s="2007" t="s">
        <v>1368</v>
      </c>
      <c r="B24" s="2008">
        <f>'[7]létszám ei mód RM IV.'!F24</f>
        <v>22</v>
      </c>
      <c r="C24" s="2012">
        <f>'[7]létszám ei mód RM IV.'!G24</f>
        <v>22</v>
      </c>
      <c r="D24" s="2008">
        <f>'[7]létszám ei mód RM IV.'!L24</f>
        <v>1</v>
      </c>
      <c r="E24" s="2012">
        <f>'[7]létszám ei mód RM IV.'!M24</f>
        <v>1</v>
      </c>
      <c r="F24" s="2013">
        <f t="shared" si="0"/>
        <v>23</v>
      </c>
      <c r="G24" s="2014">
        <f t="shared" si="0"/>
        <v>23</v>
      </c>
      <c r="I24" s="2006"/>
    </row>
    <row r="25" spans="1:9" s="2005" customFormat="1" ht="49.5" customHeight="1" x14ac:dyDescent="0.6">
      <c r="A25" s="2000" t="s">
        <v>1346</v>
      </c>
      <c r="B25" s="2008">
        <f>'[7]létszám ei mód RM IV.'!F25</f>
        <v>16</v>
      </c>
      <c r="C25" s="2015">
        <f>'[7]létszám ei mód RM IV.'!G25</f>
        <v>16</v>
      </c>
      <c r="D25" s="2008">
        <f>'[7]létszám ei mód RM IV.'!L25</f>
        <v>1</v>
      </c>
      <c r="E25" s="2015">
        <f>'[7]létszám ei mód RM IV.'!M25</f>
        <v>1</v>
      </c>
      <c r="F25" s="2016">
        <f t="shared" si="0"/>
        <v>17</v>
      </c>
      <c r="G25" s="2017">
        <f t="shared" si="0"/>
        <v>17</v>
      </c>
      <c r="I25" s="2006"/>
    </row>
    <row r="26" spans="1:9" s="2005" customFormat="1" ht="49.5" customHeight="1" thickBot="1" x14ac:dyDescent="0.65">
      <c r="A26" s="2018" t="s">
        <v>1347</v>
      </c>
      <c r="B26" s="2001">
        <f>'[7]létszám ei mód RM IV.'!F26</f>
        <v>11.5</v>
      </c>
      <c r="C26" s="2002">
        <f>'[7]létszám ei mód RM IV.'!G26</f>
        <v>12</v>
      </c>
      <c r="D26" s="2003">
        <f>'[7]létszám ei mód RM IV.'!L26</f>
        <v>1</v>
      </c>
      <c r="E26" s="2002">
        <f>'[7]létszám ei mód RM IV.'!M26</f>
        <v>1</v>
      </c>
      <c r="F26" s="2016">
        <f t="shared" si="0"/>
        <v>12.5</v>
      </c>
      <c r="G26" s="2004">
        <f t="shared" si="0"/>
        <v>13</v>
      </c>
      <c r="I26" s="2006"/>
    </row>
    <row r="27" spans="1:9" s="2005" customFormat="1" ht="49.5" customHeight="1" thickBot="1" x14ac:dyDescent="0.65">
      <c r="A27" s="2019" t="s">
        <v>1113</v>
      </c>
      <c r="B27" s="2020">
        <f t="shared" ref="B27:G27" si="1">SUM(B9:B26)</f>
        <v>377.5</v>
      </c>
      <c r="C27" s="2021">
        <f t="shared" si="1"/>
        <v>378</v>
      </c>
      <c r="D27" s="2020">
        <f t="shared" si="1"/>
        <v>18</v>
      </c>
      <c r="E27" s="2021">
        <f t="shared" si="1"/>
        <v>18</v>
      </c>
      <c r="F27" s="2020">
        <f t="shared" si="1"/>
        <v>395.5</v>
      </c>
      <c r="G27" s="2022">
        <f t="shared" si="1"/>
        <v>396</v>
      </c>
      <c r="I27" s="2006"/>
    </row>
    <row r="28" spans="1:9" s="2025" customFormat="1" ht="49.5" customHeight="1" thickBot="1" x14ac:dyDescent="0.65">
      <c r="A28" s="2023" t="s">
        <v>270</v>
      </c>
      <c r="B28" s="2008">
        <f>'[7]létszám ei mód RM IV.'!F28</f>
        <v>0</v>
      </c>
      <c r="C28" s="2002">
        <f>'[7]létszám ei mód RM IV.'!G28</f>
        <v>0</v>
      </c>
      <c r="D28" s="2008">
        <f>'[7]létszám ei mód RM IV.'!L28</f>
        <v>154</v>
      </c>
      <c r="E28" s="2021">
        <f>'[7]létszám ei mód RM IV.'!M28</f>
        <v>154</v>
      </c>
      <c r="F28" s="2024">
        <f>B28+D28</f>
        <v>154</v>
      </c>
      <c r="G28" s="2012">
        <f>C28+E28</f>
        <v>154</v>
      </c>
      <c r="I28" s="2026"/>
    </row>
    <row r="29" spans="1:9" s="2005" customFormat="1" ht="49.5" customHeight="1" thickBot="1" x14ac:dyDescent="0.65">
      <c r="A29" s="2023" t="s">
        <v>4</v>
      </c>
      <c r="B29" s="2020">
        <f>SUM(B27:B28)</f>
        <v>377.5</v>
      </c>
      <c r="C29" s="2027">
        <f>SUM(C27:C28)</f>
        <v>378</v>
      </c>
      <c r="D29" s="2028">
        <f>D28+D27</f>
        <v>172</v>
      </c>
      <c r="E29" s="2027">
        <f>E28+E27</f>
        <v>172</v>
      </c>
      <c r="F29" s="2028">
        <f>F28+F27</f>
        <v>549.5</v>
      </c>
      <c r="G29" s="2029">
        <f>G28+G27</f>
        <v>550</v>
      </c>
      <c r="I29" s="2006"/>
    </row>
    <row r="30" spans="1:9" s="2005" customFormat="1" ht="49.5" customHeight="1" x14ac:dyDescent="0.6">
      <c r="A30" s="2030" t="s">
        <v>1348</v>
      </c>
      <c r="B30" s="2003"/>
      <c r="C30" s="2031"/>
      <c r="D30" s="2003"/>
      <c r="E30" s="2031"/>
      <c r="F30" s="2003"/>
      <c r="G30" s="2003"/>
      <c r="I30" s="2006"/>
    </row>
    <row r="31" spans="1:9" s="2005" customFormat="1" ht="49.5" customHeight="1" x14ac:dyDescent="0.6">
      <c r="A31" s="2032" t="s">
        <v>1129</v>
      </c>
      <c r="B31" s="2003"/>
      <c r="C31" s="2031"/>
      <c r="D31" s="2003"/>
      <c r="E31" s="2031"/>
      <c r="F31" s="2003"/>
      <c r="G31" s="2003"/>
      <c r="I31" s="2006"/>
    </row>
    <row r="32" spans="1:9" s="2005" customFormat="1" ht="49.5" customHeight="1" x14ac:dyDescent="0.6">
      <c r="A32" s="2000" t="s">
        <v>1194</v>
      </c>
      <c r="B32" s="2001">
        <f>'[7]létszám ei mód RM IV.'!F32</f>
        <v>21</v>
      </c>
      <c r="C32" s="2002">
        <f>'[7]létszám ei mód RM IV.'!G32</f>
        <v>21</v>
      </c>
      <c r="D32" s="2003">
        <f>'[7]létszám ei mód RM IV.'!L32</f>
        <v>15.5</v>
      </c>
      <c r="E32" s="2002">
        <f>'[7]létszám ei mód RM IV.'!M32</f>
        <v>16</v>
      </c>
      <c r="F32" s="2003">
        <f t="shared" ref="F32:G36" si="2">B32+D32</f>
        <v>36.5</v>
      </c>
      <c r="G32" s="2004">
        <f t="shared" si="2"/>
        <v>37</v>
      </c>
      <c r="I32" s="2006"/>
    </row>
    <row r="33" spans="1:9" s="2005" customFormat="1" ht="49.5" customHeight="1" x14ac:dyDescent="0.6">
      <c r="A33" s="2007" t="s">
        <v>473</v>
      </c>
      <c r="B33" s="2008">
        <f>'[7]létszám ei mód RM IV.'!F33</f>
        <v>17</v>
      </c>
      <c r="C33" s="2012">
        <f>'[7]létszám ei mód RM IV.'!G33</f>
        <v>17</v>
      </c>
      <c r="D33" s="2008">
        <f>'[7]létszám ei mód RM IV.'!L33</f>
        <v>1</v>
      </c>
      <c r="E33" s="2012">
        <f>'[7]létszám ei mód RM IV.'!M33</f>
        <v>1</v>
      </c>
      <c r="F33" s="2013">
        <f t="shared" si="2"/>
        <v>18</v>
      </c>
      <c r="G33" s="2011">
        <f t="shared" si="2"/>
        <v>18</v>
      </c>
      <c r="I33" s="2006"/>
    </row>
    <row r="34" spans="1:9" s="2005" customFormat="1" ht="49.5" customHeight="1" x14ac:dyDescent="0.6">
      <c r="A34" s="2007" t="s">
        <v>1132</v>
      </c>
      <c r="B34" s="2008">
        <f>'[7]létszám ei mód RM IV.'!F34</f>
        <v>77</v>
      </c>
      <c r="C34" s="2012">
        <f>'[7]létszám ei mód RM IV.'!G34</f>
        <v>77</v>
      </c>
      <c r="D34" s="2008">
        <f>'[7]létszám ei mód RM IV.'!L34</f>
        <v>7.5</v>
      </c>
      <c r="E34" s="2012">
        <f>'[7]létszám ei mód RM IV.'!M34</f>
        <v>7</v>
      </c>
      <c r="F34" s="2013">
        <f t="shared" si="2"/>
        <v>84.5</v>
      </c>
      <c r="G34" s="2011">
        <f t="shared" si="2"/>
        <v>84</v>
      </c>
      <c r="I34" s="2006"/>
    </row>
    <row r="35" spans="1:9" s="2005" customFormat="1" ht="49.5" customHeight="1" x14ac:dyDescent="0.6">
      <c r="A35" s="2007" t="s">
        <v>1134</v>
      </c>
      <c r="B35" s="2008">
        <f>'[7]létszám ei mód RM IV.'!F35</f>
        <v>34.5</v>
      </c>
      <c r="C35" s="2012">
        <f>'[7]létszám ei mód RM IV.'!G35</f>
        <v>35</v>
      </c>
      <c r="D35" s="2008">
        <f>'[7]létszám ei mód RM IV.'!L35</f>
        <v>11</v>
      </c>
      <c r="E35" s="2012">
        <f>'[7]létszám ei mód RM IV.'!M35</f>
        <v>11</v>
      </c>
      <c r="F35" s="2013">
        <f t="shared" si="2"/>
        <v>45.5</v>
      </c>
      <c r="G35" s="2011">
        <f t="shared" si="2"/>
        <v>46</v>
      </c>
      <c r="I35" s="2006"/>
    </row>
    <row r="36" spans="1:9" s="2005" customFormat="1" ht="49.5" customHeight="1" thickBot="1" x14ac:dyDescent="0.65">
      <c r="A36" s="2018" t="s">
        <v>1135</v>
      </c>
      <c r="B36" s="2008">
        <f>'[7]létszám ei mód RM IV.'!F36</f>
        <v>61.5</v>
      </c>
      <c r="C36" s="2002">
        <f>'[7]létszám ei mód RM IV.'!G36</f>
        <v>62</v>
      </c>
      <c r="D36" s="2008">
        <f>'[7]létszám ei mód RM IV.'!L36</f>
        <v>30.25</v>
      </c>
      <c r="E36" s="2002">
        <f>'[7]létszám ei mód RM IV.'!M36</f>
        <v>30</v>
      </c>
      <c r="F36" s="2003">
        <f t="shared" si="2"/>
        <v>91.75</v>
      </c>
      <c r="G36" s="2011">
        <f t="shared" si="2"/>
        <v>92</v>
      </c>
      <c r="I36" s="2006"/>
    </row>
    <row r="37" spans="1:9" s="2005" customFormat="1" ht="49.5" customHeight="1" thickBot="1" x14ac:dyDescent="0.65">
      <c r="A37" s="2033" t="s">
        <v>1349</v>
      </c>
      <c r="B37" s="2028">
        <f t="shared" ref="B37:G37" si="3">SUM(B32:B36)</f>
        <v>211</v>
      </c>
      <c r="C37" s="2027">
        <f t="shared" si="3"/>
        <v>212</v>
      </c>
      <c r="D37" s="2028">
        <f t="shared" si="3"/>
        <v>65.25</v>
      </c>
      <c r="E37" s="2027">
        <f t="shared" si="3"/>
        <v>65</v>
      </c>
      <c r="F37" s="2028">
        <f t="shared" si="3"/>
        <v>276.25</v>
      </c>
      <c r="G37" s="2029">
        <f t="shared" si="3"/>
        <v>277</v>
      </c>
      <c r="I37" s="2006"/>
    </row>
    <row r="38" spans="1:9" s="2005" customFormat="1" ht="49.5" customHeight="1" x14ac:dyDescent="0.6">
      <c r="A38" s="2034" t="s">
        <v>1144</v>
      </c>
      <c r="B38" s="2035"/>
      <c r="C38" s="2036"/>
      <c r="D38" s="2035"/>
      <c r="E38" s="2036"/>
      <c r="F38" s="2035"/>
      <c r="G38" s="2035"/>
      <c r="I38" s="2006"/>
    </row>
    <row r="39" spans="1:9" s="2005" customFormat="1" ht="49.5" customHeight="1" thickBot="1" x14ac:dyDescent="0.65">
      <c r="A39" s="2037" t="s">
        <v>1351</v>
      </c>
      <c r="B39" s="2001">
        <f>'[7]létszám ei mód RM IV.'!F39</f>
        <v>1</v>
      </c>
      <c r="C39" s="2015">
        <f>'[7]létszám ei mód RM IV.'!G39</f>
        <v>1</v>
      </c>
      <c r="D39" s="2003">
        <f>'[7]létszám ei mód RM IV.'!L39</f>
        <v>15</v>
      </c>
      <c r="E39" s="2015">
        <f>'[7]létszám ei mód RM IV.'!M39</f>
        <v>15</v>
      </c>
      <c r="F39" s="2016">
        <f>B39+D39</f>
        <v>16</v>
      </c>
      <c r="G39" s="2004">
        <f>C39+E39</f>
        <v>16</v>
      </c>
      <c r="I39" s="2006"/>
    </row>
    <row r="40" spans="1:9" s="2005" customFormat="1" ht="49.5" customHeight="1" thickBot="1" x14ac:dyDescent="0.65">
      <c r="A40" s="2038" t="s">
        <v>1352</v>
      </c>
      <c r="B40" s="2028">
        <f t="shared" ref="B40:G40" si="4">B39</f>
        <v>1</v>
      </c>
      <c r="C40" s="2027">
        <f t="shared" si="4"/>
        <v>1</v>
      </c>
      <c r="D40" s="2028">
        <f t="shared" si="4"/>
        <v>15</v>
      </c>
      <c r="E40" s="2027">
        <f t="shared" si="4"/>
        <v>15</v>
      </c>
      <c r="F40" s="2028">
        <f t="shared" si="4"/>
        <v>16</v>
      </c>
      <c r="G40" s="2029">
        <f t="shared" si="4"/>
        <v>16</v>
      </c>
      <c r="I40" s="2006"/>
    </row>
    <row r="41" spans="1:9" s="2005" customFormat="1" ht="49.5" customHeight="1" x14ac:dyDescent="0.6">
      <c r="A41" s="2034" t="s">
        <v>1353</v>
      </c>
      <c r="B41" s="2035"/>
      <c r="C41" s="2036"/>
      <c r="D41" s="2035"/>
      <c r="E41" s="2036"/>
      <c r="F41" s="2035"/>
      <c r="G41" s="2035"/>
      <c r="I41" s="2006"/>
    </row>
    <row r="42" spans="1:9" s="2005" customFormat="1" ht="49.5" customHeight="1" thickBot="1" x14ac:dyDescent="0.65">
      <c r="A42" s="2037" t="s">
        <v>1354</v>
      </c>
      <c r="B42" s="2001">
        <f>'[7]létszám ei mód RM IV.'!F42</f>
        <v>61</v>
      </c>
      <c r="C42" s="2015">
        <f>'[7]létszám ei mód RM IV.'!G42</f>
        <v>61</v>
      </c>
      <c r="D42" s="2003">
        <f>'[7]létszám ei mód RM IV.'!L42</f>
        <v>32</v>
      </c>
      <c r="E42" s="2015">
        <f>'[7]létszám ei mód RM IV.'!M42</f>
        <v>32</v>
      </c>
      <c r="F42" s="2016">
        <f>B42+D42</f>
        <v>93</v>
      </c>
      <c r="G42" s="2004">
        <f>C42+E42</f>
        <v>93</v>
      </c>
      <c r="I42" s="2006"/>
    </row>
    <row r="43" spans="1:9" s="2005" customFormat="1" ht="49.5" customHeight="1" thickBot="1" x14ac:dyDescent="0.65">
      <c r="A43" s="2038" t="s">
        <v>1355</v>
      </c>
      <c r="B43" s="2028">
        <f t="shared" ref="B43:G43" si="5">B42</f>
        <v>61</v>
      </c>
      <c r="C43" s="2027">
        <f t="shared" si="5"/>
        <v>61</v>
      </c>
      <c r="D43" s="2028">
        <f t="shared" si="5"/>
        <v>32</v>
      </c>
      <c r="E43" s="2027">
        <f t="shared" si="5"/>
        <v>32</v>
      </c>
      <c r="F43" s="2028">
        <f t="shared" si="5"/>
        <v>93</v>
      </c>
      <c r="G43" s="2029">
        <f t="shared" si="5"/>
        <v>93</v>
      </c>
      <c r="I43" s="2006"/>
    </row>
    <row r="44" spans="1:9" s="2005" customFormat="1" ht="49.5" customHeight="1" x14ac:dyDescent="0.6">
      <c r="A44" s="2034" t="s">
        <v>1151</v>
      </c>
      <c r="B44" s="2035"/>
      <c r="C44" s="2036"/>
      <c r="D44" s="2035"/>
      <c r="E44" s="2036"/>
      <c r="F44" s="2035"/>
      <c r="G44" s="2035"/>
      <c r="I44" s="2006"/>
    </row>
    <row r="45" spans="1:9" s="2005" customFormat="1" ht="104.25" customHeight="1" x14ac:dyDescent="0.6">
      <c r="A45" s="2039" t="s">
        <v>1356</v>
      </c>
      <c r="B45" s="2040">
        <f>'[7]létszám ei mód RM IV.'!F45</f>
        <v>105</v>
      </c>
      <c r="C45" s="2002">
        <f>'[7]létszám ei mód RM IV.'!G45</f>
        <v>105</v>
      </c>
      <c r="D45" s="2040">
        <f>'[7]létszám ei mód RM IV.'!L45</f>
        <v>68.625</v>
      </c>
      <c r="E45" s="2002">
        <f>'[7]létszám ei mód RM IV.'!M45</f>
        <v>69</v>
      </c>
      <c r="F45" s="2003">
        <f>B45+D45</f>
        <v>173.625</v>
      </c>
      <c r="G45" s="2004">
        <f>C45+E45</f>
        <v>174</v>
      </c>
      <c r="I45" s="2006"/>
    </row>
    <row r="46" spans="1:9" s="2005" customFormat="1" ht="88.5" customHeight="1" thickBot="1" x14ac:dyDescent="0.65">
      <c r="A46" s="2041" t="s">
        <v>1357</v>
      </c>
      <c r="B46" s="2001">
        <f>'[7]létszám ei mód RM IV.'!F46</f>
        <v>146.5</v>
      </c>
      <c r="C46" s="2042">
        <f>'[7]létszám ei mód RM IV.'!G46</f>
        <v>146</v>
      </c>
      <c r="D46" s="2003">
        <f>'[7]létszám ei mód RM IV.'!L46</f>
        <v>19</v>
      </c>
      <c r="E46" s="2042">
        <f>'[7]létszám ei mód RM IV.'!M46</f>
        <v>19</v>
      </c>
      <c r="F46" s="2043">
        <f>B46+D46</f>
        <v>165.5</v>
      </c>
      <c r="G46" s="2044">
        <f>C46+E46</f>
        <v>165</v>
      </c>
      <c r="I46" s="2006"/>
    </row>
    <row r="47" spans="1:9" s="2005" customFormat="1" ht="49.5" customHeight="1" thickBot="1" x14ac:dyDescent="0.65">
      <c r="A47" s="2045" t="s">
        <v>1355</v>
      </c>
      <c r="B47" s="2028">
        <f t="shared" ref="B47:G47" si="6">SUM(B45:B46)</f>
        <v>251.5</v>
      </c>
      <c r="C47" s="2029">
        <f t="shared" si="6"/>
        <v>251</v>
      </c>
      <c r="D47" s="2028">
        <f t="shared" si="6"/>
        <v>87.625</v>
      </c>
      <c r="E47" s="2027">
        <f t="shared" si="6"/>
        <v>88</v>
      </c>
      <c r="F47" s="2028">
        <f t="shared" si="6"/>
        <v>339.125</v>
      </c>
      <c r="G47" s="2029">
        <f t="shared" si="6"/>
        <v>339</v>
      </c>
      <c r="I47" s="2006"/>
    </row>
    <row r="48" spans="1:9" s="2005" customFormat="1" ht="49.5" customHeight="1" thickBot="1" x14ac:dyDescent="0.65">
      <c r="A48" s="2046" t="s">
        <v>1166</v>
      </c>
      <c r="B48" s="2047">
        <f t="shared" ref="B48:G48" si="7">B37+B40+B43+B47</f>
        <v>524.5</v>
      </c>
      <c r="C48" s="2048">
        <f t="shared" si="7"/>
        <v>525</v>
      </c>
      <c r="D48" s="2047">
        <f t="shared" si="7"/>
        <v>199.875</v>
      </c>
      <c r="E48" s="2049">
        <f t="shared" si="7"/>
        <v>200</v>
      </c>
      <c r="F48" s="2047">
        <f t="shared" si="7"/>
        <v>724.375</v>
      </c>
      <c r="G48" s="2048">
        <f t="shared" si="7"/>
        <v>725</v>
      </c>
      <c r="I48" s="2006"/>
    </row>
    <row r="49" spans="1:219" s="2005" customFormat="1" ht="49.5" customHeight="1" thickBot="1" x14ac:dyDescent="0.65">
      <c r="A49" s="2050" t="s">
        <v>1358</v>
      </c>
      <c r="B49" s="2047">
        <f t="shared" ref="B49:G49" si="8">B29</f>
        <v>377.5</v>
      </c>
      <c r="C49" s="2048">
        <f t="shared" si="8"/>
        <v>378</v>
      </c>
      <c r="D49" s="2047">
        <f t="shared" si="8"/>
        <v>172</v>
      </c>
      <c r="E49" s="2049">
        <f t="shared" si="8"/>
        <v>172</v>
      </c>
      <c r="F49" s="2047">
        <f t="shared" si="8"/>
        <v>549.5</v>
      </c>
      <c r="G49" s="2048">
        <f t="shared" si="8"/>
        <v>550</v>
      </c>
      <c r="I49" s="2006"/>
    </row>
    <row r="50" spans="1:219" s="2053" customFormat="1" ht="49.5" customHeight="1" thickBot="1" x14ac:dyDescent="0.65">
      <c r="A50" s="2051" t="s">
        <v>1380</v>
      </c>
      <c r="B50" s="2052">
        <f t="shared" ref="B50:G50" si="9">SUM(B48:B49)</f>
        <v>902</v>
      </c>
      <c r="C50" s="2049">
        <f t="shared" si="9"/>
        <v>903</v>
      </c>
      <c r="D50" s="2052">
        <f t="shared" si="9"/>
        <v>371.875</v>
      </c>
      <c r="E50" s="2049">
        <f t="shared" si="9"/>
        <v>372</v>
      </c>
      <c r="F50" s="2052">
        <f t="shared" si="9"/>
        <v>1273.875</v>
      </c>
      <c r="G50" s="2049">
        <f t="shared" si="9"/>
        <v>1275</v>
      </c>
      <c r="I50" s="2054"/>
    </row>
    <row r="51" spans="1:219" s="2005" customFormat="1" ht="49.5" customHeight="1" x14ac:dyDescent="0.6">
      <c r="A51" s="2039" t="s">
        <v>1359</v>
      </c>
      <c r="B51" s="2003">
        <f>'[7]létszám ei mód RM IV.'!F51</f>
        <v>30</v>
      </c>
      <c r="C51" s="2017">
        <f>'[7]létszám ei mód RM IV.'!G51</f>
        <v>30</v>
      </c>
      <c r="D51" s="2003">
        <f>'[7]létszám ei mód RM IV.'!L51</f>
        <v>0</v>
      </c>
      <c r="E51" s="2015">
        <f>'[7]létszám ei mód RM IV.'!M51</f>
        <v>0</v>
      </c>
      <c r="F51" s="2016">
        <f t="shared" ref="F51:G53" si="10">B51+D51</f>
        <v>30</v>
      </c>
      <c r="G51" s="2011">
        <f t="shared" si="10"/>
        <v>30</v>
      </c>
      <c r="I51" s="2006"/>
    </row>
    <row r="52" spans="1:219" s="2005" customFormat="1" ht="49.5" customHeight="1" x14ac:dyDescent="0.6">
      <c r="A52" s="2055" t="s">
        <v>87</v>
      </c>
      <c r="B52" s="2008">
        <f>'[7]létszám ei mód RM IV.'!F52</f>
        <v>233</v>
      </c>
      <c r="C52" s="2014">
        <f>'[7]létszám ei mód RM IV.'!G52</f>
        <v>233</v>
      </c>
      <c r="D52" s="2008">
        <f>'[7]létszám ei mód RM IV.'!L52</f>
        <v>0</v>
      </c>
      <c r="E52" s="2012">
        <f>'[7]létszám ei mód RM IV.'!M52</f>
        <v>0</v>
      </c>
      <c r="F52" s="2013">
        <f t="shared" si="10"/>
        <v>233</v>
      </c>
      <c r="G52" s="2014">
        <f t="shared" si="10"/>
        <v>233</v>
      </c>
      <c r="I52" s="2006"/>
    </row>
    <row r="53" spans="1:219" s="2005" customFormat="1" ht="49.5" customHeight="1" thickBot="1" x14ac:dyDescent="0.65">
      <c r="A53" s="2056" t="s">
        <v>664</v>
      </c>
      <c r="B53" s="2003">
        <f>'[7]létszám ei mód RM IV.'!F53</f>
        <v>0</v>
      </c>
      <c r="C53" s="2057">
        <f>'[7]létszám ei mód RM IV.'!G53</f>
        <v>0</v>
      </c>
      <c r="D53" s="2003">
        <f>'[7]létszám ei mód RM IV.'!L53</f>
        <v>0</v>
      </c>
      <c r="E53" s="2058">
        <f>'[7]létszám ei mód RM IV.'!M53</f>
        <v>0</v>
      </c>
      <c r="F53" s="2003">
        <f t="shared" si="10"/>
        <v>0</v>
      </c>
      <c r="G53" s="2048">
        <f t="shared" si="10"/>
        <v>0</v>
      </c>
      <c r="I53" s="2006"/>
    </row>
    <row r="54" spans="1:219" s="2063" customFormat="1" ht="49.5" customHeight="1" thickBot="1" x14ac:dyDescent="0.65">
      <c r="A54" s="2051" t="s">
        <v>261</v>
      </c>
      <c r="B54" s="2059">
        <f t="shared" ref="B54:G54" si="11">SUM(B50:B53)</f>
        <v>1165</v>
      </c>
      <c r="C54" s="2060">
        <f t="shared" si="11"/>
        <v>1166</v>
      </c>
      <c r="D54" s="2059">
        <f t="shared" si="11"/>
        <v>371.875</v>
      </c>
      <c r="E54" s="2061">
        <f t="shared" si="11"/>
        <v>372</v>
      </c>
      <c r="F54" s="2059">
        <f t="shared" si="11"/>
        <v>1536.875</v>
      </c>
      <c r="G54" s="2062">
        <f t="shared" si="11"/>
        <v>1538</v>
      </c>
      <c r="H54" s="2005"/>
      <c r="I54" s="2006"/>
      <c r="J54" s="2005"/>
      <c r="K54" s="2005"/>
      <c r="L54" s="2005"/>
      <c r="M54" s="2005"/>
      <c r="N54" s="2005"/>
      <c r="O54" s="2005"/>
      <c r="P54" s="2005"/>
      <c r="Q54" s="2005"/>
      <c r="R54" s="2005"/>
      <c r="S54" s="2005"/>
      <c r="T54" s="2005"/>
      <c r="U54" s="2005"/>
      <c r="V54" s="2005"/>
      <c r="W54" s="2005"/>
      <c r="X54" s="2005"/>
      <c r="Y54" s="2005"/>
      <c r="Z54" s="2005"/>
      <c r="AA54" s="2005"/>
      <c r="AB54" s="2005"/>
      <c r="AC54" s="2005"/>
      <c r="AD54" s="2005"/>
      <c r="AE54" s="2005"/>
      <c r="AF54" s="2005"/>
      <c r="AG54" s="2005"/>
      <c r="AH54" s="2005"/>
      <c r="AI54" s="2005"/>
      <c r="AJ54" s="2005"/>
      <c r="AK54" s="2005"/>
      <c r="AL54" s="2005"/>
      <c r="AM54" s="2005"/>
      <c r="AN54" s="2005"/>
      <c r="AO54" s="2005"/>
      <c r="AP54" s="2005"/>
      <c r="AQ54" s="2005"/>
      <c r="AR54" s="2005"/>
      <c r="AS54" s="2005"/>
      <c r="AT54" s="2005"/>
      <c r="AU54" s="2005"/>
      <c r="AV54" s="2005"/>
      <c r="AW54" s="2005"/>
      <c r="AX54" s="2005"/>
      <c r="AY54" s="2005"/>
      <c r="AZ54" s="2005"/>
      <c r="BA54" s="2005"/>
      <c r="BB54" s="2005"/>
      <c r="BC54" s="2005"/>
      <c r="BD54" s="2005"/>
      <c r="BE54" s="2005"/>
      <c r="BF54" s="2005"/>
      <c r="BG54" s="2005"/>
      <c r="BH54" s="2005"/>
      <c r="BI54" s="2005"/>
      <c r="BJ54" s="2005"/>
      <c r="BK54" s="2005"/>
      <c r="BL54" s="2005"/>
      <c r="BM54" s="2005"/>
      <c r="BN54" s="2005"/>
      <c r="BO54" s="2005"/>
      <c r="BP54" s="2005"/>
      <c r="BQ54" s="2005"/>
      <c r="BR54" s="2005"/>
      <c r="BS54" s="2005"/>
      <c r="BT54" s="2005"/>
      <c r="BU54" s="2005"/>
      <c r="BV54" s="2005"/>
      <c r="BW54" s="2005"/>
      <c r="BX54" s="2005"/>
      <c r="BY54" s="2005"/>
      <c r="BZ54" s="2005"/>
      <c r="CA54" s="2005"/>
      <c r="CB54" s="2005"/>
      <c r="CC54" s="2005"/>
      <c r="CD54" s="2005"/>
      <c r="CE54" s="2005"/>
      <c r="CF54" s="2005"/>
      <c r="CG54" s="2005"/>
      <c r="CH54" s="2005"/>
      <c r="CI54" s="2005"/>
      <c r="CJ54" s="2005"/>
      <c r="CK54" s="2005"/>
      <c r="CL54" s="2005"/>
      <c r="CM54" s="2005"/>
      <c r="CN54" s="2005"/>
      <c r="CO54" s="2005"/>
      <c r="CP54" s="2005"/>
      <c r="CQ54" s="2005"/>
      <c r="CR54" s="2005"/>
      <c r="CS54" s="2005"/>
      <c r="CT54" s="2005"/>
      <c r="CU54" s="2005"/>
      <c r="CV54" s="2005"/>
      <c r="CW54" s="2005"/>
      <c r="CX54" s="2005"/>
      <c r="CY54" s="2005"/>
      <c r="CZ54" s="2005"/>
      <c r="DA54" s="2005"/>
      <c r="DB54" s="2005"/>
      <c r="DC54" s="2005"/>
      <c r="DD54" s="2005"/>
      <c r="DE54" s="2005"/>
      <c r="DF54" s="2005"/>
      <c r="DG54" s="2005"/>
      <c r="DH54" s="2005"/>
      <c r="DI54" s="2005"/>
      <c r="DJ54" s="2005"/>
      <c r="DK54" s="2005"/>
      <c r="DL54" s="2005"/>
      <c r="DM54" s="2005"/>
      <c r="DN54" s="2005"/>
      <c r="DO54" s="2005"/>
      <c r="DP54" s="2005"/>
      <c r="DQ54" s="2005"/>
      <c r="DR54" s="2005"/>
      <c r="DS54" s="2005"/>
      <c r="DT54" s="2005"/>
      <c r="DU54" s="2005"/>
      <c r="DV54" s="2005"/>
      <c r="DW54" s="2005"/>
      <c r="DX54" s="2005"/>
      <c r="DY54" s="2005"/>
      <c r="DZ54" s="2005"/>
      <c r="EA54" s="2005"/>
      <c r="EB54" s="2005"/>
      <c r="EC54" s="2005"/>
      <c r="ED54" s="2005"/>
      <c r="EE54" s="2005"/>
      <c r="EF54" s="2005"/>
      <c r="EG54" s="2005"/>
      <c r="EH54" s="2005"/>
      <c r="EI54" s="2005"/>
      <c r="EJ54" s="2005"/>
      <c r="EK54" s="2005"/>
      <c r="EL54" s="2005"/>
      <c r="EM54" s="2005"/>
      <c r="EN54" s="2005"/>
      <c r="EO54" s="2005"/>
      <c r="EP54" s="2005"/>
      <c r="EQ54" s="2005"/>
      <c r="ER54" s="2005"/>
      <c r="ES54" s="2005"/>
      <c r="ET54" s="2005"/>
      <c r="EU54" s="2005"/>
      <c r="EV54" s="2005"/>
      <c r="EW54" s="2005"/>
      <c r="EX54" s="2005"/>
      <c r="EY54" s="2005"/>
      <c r="EZ54" s="2005"/>
      <c r="FA54" s="2005"/>
      <c r="FB54" s="2005"/>
      <c r="FC54" s="2005"/>
      <c r="FD54" s="2005"/>
      <c r="FE54" s="2005"/>
      <c r="FF54" s="2005"/>
      <c r="FG54" s="2005"/>
      <c r="FH54" s="2005"/>
      <c r="FI54" s="2005"/>
      <c r="FJ54" s="2005"/>
      <c r="FK54" s="2005"/>
      <c r="FL54" s="2005"/>
      <c r="FM54" s="2005"/>
      <c r="FN54" s="2005"/>
      <c r="FO54" s="2005"/>
      <c r="FP54" s="2005"/>
      <c r="FQ54" s="2005"/>
      <c r="FR54" s="2005"/>
      <c r="FS54" s="2005"/>
      <c r="FT54" s="2005"/>
      <c r="FU54" s="2005"/>
      <c r="FV54" s="2005"/>
      <c r="FW54" s="2005"/>
      <c r="FX54" s="2005"/>
      <c r="FY54" s="2005"/>
      <c r="FZ54" s="2005"/>
      <c r="GA54" s="2005"/>
      <c r="GB54" s="2005"/>
      <c r="GC54" s="2005"/>
      <c r="GD54" s="2005"/>
      <c r="GE54" s="2005"/>
      <c r="GF54" s="2005"/>
      <c r="GG54" s="2005"/>
      <c r="GH54" s="2005"/>
      <c r="GI54" s="2005"/>
      <c r="GJ54" s="2005"/>
      <c r="GK54" s="2005"/>
      <c r="GL54" s="2005"/>
      <c r="GM54" s="2005"/>
      <c r="GN54" s="2005"/>
      <c r="GO54" s="2005"/>
      <c r="GP54" s="2005"/>
      <c r="GQ54" s="2005"/>
      <c r="GR54" s="2005"/>
      <c r="GS54" s="2005"/>
      <c r="GT54" s="2005"/>
      <c r="GU54" s="2005"/>
      <c r="GV54" s="2005"/>
      <c r="GW54" s="2005"/>
      <c r="GX54" s="2005"/>
      <c r="GY54" s="2005"/>
      <c r="GZ54" s="2005"/>
      <c r="HA54" s="2005"/>
      <c r="HB54" s="2005"/>
      <c r="HC54" s="2005"/>
      <c r="HD54" s="2005"/>
      <c r="HE54" s="2005"/>
      <c r="HF54" s="2005"/>
      <c r="HG54" s="2005"/>
      <c r="HH54" s="2005"/>
      <c r="HI54" s="2005"/>
      <c r="HJ54" s="2005"/>
      <c r="HK54" s="2005"/>
    </row>
    <row r="55" spans="1:219" s="1927" customFormat="1" x14ac:dyDescent="0.5">
      <c r="A55" s="1924"/>
      <c r="B55" s="1925"/>
      <c r="C55" s="1926"/>
      <c r="E55" s="1928"/>
      <c r="I55" s="1929"/>
    </row>
    <row r="56" spans="1:219" s="1927" customFormat="1" x14ac:dyDescent="0.5">
      <c r="A56" s="1930"/>
      <c r="B56" s="1925"/>
      <c r="C56" s="1926"/>
      <c r="E56" s="1928"/>
      <c r="I56" s="1929"/>
    </row>
    <row r="57" spans="1:219" s="1927" customFormat="1" ht="51" customHeight="1" x14ac:dyDescent="0.5">
      <c r="A57" s="1931"/>
      <c r="B57" s="1925"/>
      <c r="C57" s="1926"/>
      <c r="E57" s="1928"/>
      <c r="I57" s="1929"/>
    </row>
    <row r="58" spans="1:219" s="1922" customFormat="1" x14ac:dyDescent="0.5">
      <c r="A58" s="1932"/>
      <c r="B58" s="1925"/>
      <c r="C58" s="1933"/>
      <c r="E58" s="1923"/>
      <c r="I58" s="1934"/>
    </row>
    <row r="59" spans="1:219" s="1922" customFormat="1" x14ac:dyDescent="0.5">
      <c r="A59" s="1935"/>
      <c r="B59" s="1925"/>
      <c r="C59" s="1933"/>
      <c r="E59" s="1923"/>
      <c r="I59" s="1934"/>
    </row>
    <row r="60" spans="1:219" s="1922" customFormat="1" x14ac:dyDescent="0.5">
      <c r="A60" s="1930"/>
      <c r="B60" s="1925"/>
      <c r="C60" s="1926"/>
      <c r="E60" s="1923"/>
      <c r="I60" s="1934"/>
    </row>
    <row r="61" spans="1:219" s="1922" customFormat="1" x14ac:dyDescent="0.5">
      <c r="A61" s="1935"/>
      <c r="B61" s="1925"/>
      <c r="C61" s="1933"/>
      <c r="E61" s="1923"/>
      <c r="I61" s="1934"/>
    </row>
    <row r="62" spans="1:219" s="1922" customFormat="1" x14ac:dyDescent="0.5">
      <c r="A62" s="1935"/>
      <c r="B62" s="1925"/>
      <c r="C62" s="1933"/>
      <c r="E62" s="1923"/>
      <c r="I62" s="1934"/>
    </row>
    <row r="63" spans="1:219" s="1922" customFormat="1" x14ac:dyDescent="0.5">
      <c r="A63" s="1935"/>
      <c r="B63" s="1925"/>
      <c r="C63" s="1933"/>
      <c r="E63" s="1923"/>
      <c r="I63" s="1934"/>
    </row>
    <row r="64" spans="1:219" s="1922" customFormat="1" x14ac:dyDescent="0.5">
      <c r="A64" s="1935"/>
      <c r="B64" s="1925"/>
      <c r="C64" s="1933"/>
      <c r="E64" s="1923"/>
      <c r="I64" s="1934"/>
    </row>
    <row r="65" spans="1:9" s="1922" customFormat="1" x14ac:dyDescent="0.5">
      <c r="A65" s="1932"/>
      <c r="B65" s="1925"/>
      <c r="C65" s="1933"/>
      <c r="E65" s="1923"/>
      <c r="I65" s="1934"/>
    </row>
    <row r="66" spans="1:9" s="1922" customFormat="1" x14ac:dyDescent="0.5">
      <c r="A66" s="1935"/>
      <c r="B66" s="1925"/>
      <c r="C66" s="1933"/>
      <c r="E66" s="1923"/>
      <c r="I66" s="1934"/>
    </row>
    <row r="67" spans="1:9" s="1922" customFormat="1" x14ac:dyDescent="0.5">
      <c r="A67" s="1935"/>
      <c r="B67" s="1925"/>
      <c r="C67" s="1933"/>
      <c r="E67" s="1923"/>
      <c r="I67" s="1934"/>
    </row>
    <row r="68" spans="1:9" s="1922" customFormat="1" x14ac:dyDescent="0.5">
      <c r="A68" s="1935"/>
      <c r="B68" s="1925"/>
      <c r="C68" s="1933"/>
      <c r="E68" s="1923"/>
      <c r="I68" s="1934"/>
    </row>
    <row r="69" spans="1:9" s="1922" customFormat="1" x14ac:dyDescent="0.5">
      <c r="A69" s="1935"/>
      <c r="B69" s="1925"/>
      <c r="C69" s="1933"/>
      <c r="E69" s="1923"/>
      <c r="I69" s="1934"/>
    </row>
    <row r="70" spans="1:9" s="1922" customFormat="1" x14ac:dyDescent="0.5">
      <c r="A70" s="1935"/>
      <c r="B70" s="1925"/>
      <c r="C70" s="1933"/>
      <c r="E70" s="1923"/>
      <c r="I70" s="1934"/>
    </row>
    <row r="71" spans="1:9" s="1922" customFormat="1" x14ac:dyDescent="0.5">
      <c r="A71" s="1935"/>
      <c r="B71" s="1927"/>
      <c r="C71" s="1923"/>
      <c r="E71" s="1923"/>
      <c r="I71" s="1934"/>
    </row>
    <row r="72" spans="1:9" s="1922" customFormat="1" x14ac:dyDescent="0.5">
      <c r="A72" s="1935"/>
      <c r="B72" s="1927"/>
      <c r="C72" s="1923"/>
      <c r="E72" s="1923"/>
      <c r="I72" s="1934"/>
    </row>
    <row r="73" spans="1:9" s="1922" customFormat="1" x14ac:dyDescent="0.5">
      <c r="A73" s="1935"/>
      <c r="B73" s="1927"/>
      <c r="C73" s="1923"/>
      <c r="E73" s="1923"/>
      <c r="I73" s="1934"/>
    </row>
    <row r="74" spans="1:9" s="1922" customFormat="1" x14ac:dyDescent="0.5">
      <c r="A74" s="1935"/>
      <c r="B74" s="1927"/>
      <c r="C74" s="1923"/>
      <c r="E74" s="1923"/>
      <c r="I74" s="1934"/>
    </row>
    <row r="75" spans="1:9" s="1922" customFormat="1" x14ac:dyDescent="0.5">
      <c r="A75" s="1935"/>
      <c r="B75" s="1927"/>
      <c r="C75" s="1923"/>
      <c r="E75" s="1923"/>
      <c r="I75" s="1934"/>
    </row>
    <row r="76" spans="1:9" s="1922" customFormat="1" x14ac:dyDescent="0.5">
      <c r="A76" s="1935"/>
      <c r="B76" s="1927"/>
      <c r="C76" s="1923"/>
      <c r="E76" s="1923"/>
      <c r="I76" s="1934"/>
    </row>
    <row r="77" spans="1:9" s="1922" customFormat="1" x14ac:dyDescent="0.5">
      <c r="A77" s="1935"/>
      <c r="B77" s="1927"/>
      <c r="C77" s="1923"/>
      <c r="E77" s="1923"/>
      <c r="I77" s="1934"/>
    </row>
    <row r="78" spans="1:9" s="1922" customFormat="1" x14ac:dyDescent="0.5">
      <c r="A78" s="1935"/>
      <c r="B78" s="1927"/>
      <c r="C78" s="1923"/>
      <c r="E78" s="1923"/>
      <c r="I78" s="1934"/>
    </row>
    <row r="79" spans="1:9" s="1922" customFormat="1" x14ac:dyDescent="0.5">
      <c r="A79" s="1935"/>
      <c r="B79" s="1927"/>
      <c r="C79" s="1923"/>
      <c r="E79" s="1923"/>
      <c r="I79" s="1934"/>
    </row>
    <row r="80" spans="1:9" s="1922" customFormat="1" x14ac:dyDescent="0.5">
      <c r="A80" s="1935"/>
      <c r="B80" s="1927"/>
      <c r="C80" s="1923"/>
      <c r="E80" s="1923"/>
      <c r="I80" s="1934"/>
    </row>
    <row r="81" spans="1:9" s="1922" customFormat="1" x14ac:dyDescent="0.5">
      <c r="A81" s="1935"/>
      <c r="B81" s="1927"/>
      <c r="C81" s="1923"/>
      <c r="E81" s="1923"/>
      <c r="I81" s="1934"/>
    </row>
    <row r="82" spans="1:9" s="1922" customFormat="1" x14ac:dyDescent="0.5">
      <c r="A82" s="1935"/>
      <c r="B82" s="1927"/>
      <c r="C82" s="1923"/>
      <c r="E82" s="1923"/>
      <c r="I82" s="1934"/>
    </row>
    <row r="83" spans="1:9" s="1922" customFormat="1" x14ac:dyDescent="0.5">
      <c r="A83" s="1935"/>
      <c r="B83" s="1927"/>
      <c r="C83" s="1923"/>
      <c r="E83" s="1923"/>
      <c r="I83" s="1934"/>
    </row>
    <row r="84" spans="1:9" s="1922" customFormat="1" x14ac:dyDescent="0.5">
      <c r="A84" s="1935"/>
      <c r="B84" s="1927"/>
      <c r="C84" s="1923"/>
      <c r="E84" s="1923"/>
      <c r="I84" s="1934"/>
    </row>
    <row r="85" spans="1:9" s="1922" customFormat="1" x14ac:dyDescent="0.5">
      <c r="A85" s="1935"/>
      <c r="B85" s="1927"/>
      <c r="C85" s="1923"/>
      <c r="E85" s="1923"/>
      <c r="I85" s="1934"/>
    </row>
    <row r="86" spans="1:9" s="1922" customFormat="1" x14ac:dyDescent="0.5">
      <c r="A86" s="1935"/>
      <c r="B86" s="1927"/>
      <c r="C86" s="1923"/>
      <c r="E86" s="1923"/>
      <c r="I86" s="1934"/>
    </row>
    <row r="87" spans="1:9" s="1922" customFormat="1" x14ac:dyDescent="0.5">
      <c r="A87" s="1935"/>
      <c r="B87" s="1927"/>
      <c r="C87" s="1923"/>
      <c r="E87" s="1923"/>
      <c r="I87" s="1934"/>
    </row>
    <row r="88" spans="1:9" s="1922" customFormat="1" x14ac:dyDescent="0.5">
      <c r="A88" s="1935"/>
      <c r="B88" s="1927"/>
      <c r="C88" s="1923"/>
      <c r="E88" s="1923"/>
      <c r="I88" s="1934"/>
    </row>
    <row r="89" spans="1:9" s="1922" customFormat="1" x14ac:dyDescent="0.5">
      <c r="A89" s="1935"/>
      <c r="B89" s="1927"/>
      <c r="C89" s="1923"/>
      <c r="E89" s="1923"/>
      <c r="I89" s="1934"/>
    </row>
    <row r="90" spans="1:9" s="1922" customFormat="1" x14ac:dyDescent="0.5">
      <c r="A90" s="1935"/>
      <c r="B90" s="1927"/>
      <c r="C90" s="1923"/>
      <c r="E90" s="1923"/>
      <c r="I90" s="1934"/>
    </row>
    <row r="91" spans="1:9" s="1922" customFormat="1" x14ac:dyDescent="0.5">
      <c r="A91" s="1935"/>
      <c r="B91" s="1927"/>
      <c r="C91" s="1923"/>
      <c r="E91" s="1923"/>
      <c r="I91" s="1934"/>
    </row>
    <row r="92" spans="1:9" s="1922" customFormat="1" x14ac:dyDescent="0.5">
      <c r="A92" s="1935"/>
      <c r="B92" s="1927"/>
      <c r="C92" s="1923"/>
      <c r="E92" s="1923"/>
      <c r="I92" s="1934"/>
    </row>
    <row r="93" spans="1:9" s="1922" customFormat="1" x14ac:dyDescent="0.5">
      <c r="A93" s="1915"/>
      <c r="C93" s="1923"/>
      <c r="E93" s="1923"/>
      <c r="I93" s="1934"/>
    </row>
    <row r="94" spans="1:9" s="1922" customFormat="1" x14ac:dyDescent="0.5">
      <c r="A94" s="1915"/>
      <c r="C94" s="1923"/>
      <c r="E94" s="1923"/>
      <c r="I94" s="1934"/>
    </row>
    <row r="95" spans="1:9" s="1922" customFormat="1" x14ac:dyDescent="0.5">
      <c r="A95" s="1915"/>
      <c r="C95" s="1923"/>
      <c r="E95" s="1923"/>
      <c r="I95" s="1934"/>
    </row>
    <row r="96" spans="1:9" s="1922" customFormat="1" x14ac:dyDescent="0.5">
      <c r="A96" s="1915"/>
      <c r="C96" s="1923"/>
      <c r="E96" s="1923"/>
      <c r="I96" s="1934"/>
    </row>
    <row r="97" spans="1:9" s="1922" customFormat="1" x14ac:dyDescent="0.5">
      <c r="A97" s="1915"/>
      <c r="C97" s="1923"/>
      <c r="E97" s="1923"/>
      <c r="I97" s="1934"/>
    </row>
    <row r="98" spans="1:9" s="1922" customFormat="1" x14ac:dyDescent="0.5">
      <c r="A98" s="1915"/>
      <c r="C98" s="1923"/>
      <c r="E98" s="1923"/>
      <c r="I98" s="1934"/>
    </row>
    <row r="99" spans="1:9" s="1922" customFormat="1" x14ac:dyDescent="0.5">
      <c r="A99" s="1915"/>
      <c r="C99" s="1923"/>
      <c r="E99" s="1923"/>
      <c r="I99" s="1934"/>
    </row>
    <row r="100" spans="1:9" s="1922" customFormat="1" x14ac:dyDescent="0.5">
      <c r="A100" s="1915"/>
      <c r="C100" s="1923"/>
      <c r="E100" s="1923"/>
      <c r="I100" s="1934"/>
    </row>
    <row r="101" spans="1:9" s="1922" customFormat="1" x14ac:dyDescent="0.5">
      <c r="A101" s="1915"/>
      <c r="C101" s="1923"/>
      <c r="E101" s="1923"/>
      <c r="I101" s="1934"/>
    </row>
    <row r="102" spans="1:9" s="1922" customFormat="1" x14ac:dyDescent="0.5">
      <c r="A102" s="1915"/>
      <c r="C102" s="1923"/>
      <c r="E102" s="1923"/>
      <c r="I102" s="1934"/>
    </row>
    <row r="103" spans="1:9" s="1922" customFormat="1" x14ac:dyDescent="0.5">
      <c r="A103" s="1915"/>
      <c r="C103" s="1923"/>
      <c r="E103" s="1923"/>
      <c r="I103" s="1934"/>
    </row>
    <row r="104" spans="1:9" s="1922" customFormat="1" x14ac:dyDescent="0.5">
      <c r="A104" s="1915"/>
      <c r="C104" s="1923"/>
      <c r="E104" s="1923"/>
      <c r="I104" s="1934"/>
    </row>
    <row r="105" spans="1:9" s="1922" customFormat="1" x14ac:dyDescent="0.5">
      <c r="A105" s="1915"/>
      <c r="C105" s="1923"/>
      <c r="E105" s="1923"/>
      <c r="I105" s="1934"/>
    </row>
    <row r="106" spans="1:9" s="1922" customFormat="1" x14ac:dyDescent="0.5">
      <c r="A106" s="1915"/>
      <c r="C106" s="1923"/>
      <c r="E106" s="1923"/>
      <c r="I106" s="1934"/>
    </row>
  </sheetData>
  <mergeCells count="9">
    <mergeCell ref="B6:C6"/>
    <mergeCell ref="D6:E6"/>
    <mergeCell ref="B1:E1"/>
    <mergeCell ref="B2:E2"/>
    <mergeCell ref="B3:C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2" orientation="portrait" horizontalDpi="300" verticalDpi="300" r:id="rId1"/>
  <headerFooter alignWithMargins="0">
    <oddHeader>&amp;R&amp;"Times New Roman CE,Félkövér"&amp;36 7. 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C1:H54"/>
  <sheetViews>
    <sheetView zoomScaleNormal="100" zoomScaleSheetLayoutView="75" workbookViewId="0">
      <selection activeCell="B1" sqref="B1:E1"/>
    </sheetView>
  </sheetViews>
  <sheetFormatPr defaultRowHeight="15" customHeight="1" x14ac:dyDescent="0.2"/>
  <cols>
    <col min="1" max="2" width="9.33203125" style="12"/>
    <col min="3" max="3" width="116.1640625" style="12" customWidth="1"/>
    <col min="4" max="7" width="22.1640625" style="12" customWidth="1"/>
    <col min="8" max="8" width="17.33203125" style="12" bestFit="1" customWidth="1"/>
    <col min="9" max="16384" width="9.33203125" style="12"/>
  </cols>
  <sheetData>
    <row r="1" spans="3:8" ht="15" customHeight="1" x14ac:dyDescent="0.25">
      <c r="C1" s="2660"/>
      <c r="D1" s="2660"/>
    </row>
    <row r="2" spans="3:8" ht="24.75" customHeight="1" x14ac:dyDescent="0.35">
      <c r="C2" s="2663" t="s">
        <v>44</v>
      </c>
      <c r="D2" s="2663"/>
      <c r="E2" s="2663"/>
      <c r="F2" s="2663"/>
      <c r="G2" s="2663"/>
    </row>
    <row r="3" spans="3:8" ht="15" customHeight="1" x14ac:dyDescent="0.25">
      <c r="C3" s="538"/>
      <c r="D3" s="538"/>
    </row>
    <row r="4" spans="3:8" ht="24.75" customHeight="1" thickBot="1" x14ac:dyDescent="0.3">
      <c r="C4" s="2180" t="s">
        <v>300</v>
      </c>
      <c r="D4" s="2181"/>
      <c r="E4" s="2181"/>
      <c r="F4" s="2181"/>
      <c r="G4" s="2181" t="s">
        <v>38</v>
      </c>
    </row>
    <row r="5" spans="3:8" ht="24.75" customHeight="1" x14ac:dyDescent="0.25">
      <c r="C5" s="2182" t="s">
        <v>59</v>
      </c>
      <c r="D5" s="2661" t="s">
        <v>173</v>
      </c>
      <c r="E5" s="2662"/>
      <c r="F5" s="2183" t="s">
        <v>608</v>
      </c>
      <c r="G5" s="2184" t="s">
        <v>206</v>
      </c>
    </row>
    <row r="6" spans="3:8" ht="24.75" customHeight="1" thickBot="1" x14ac:dyDescent="0.3">
      <c r="C6" s="2185"/>
      <c r="D6" s="2186" t="s">
        <v>406</v>
      </c>
      <c r="E6" s="2186" t="s">
        <v>204</v>
      </c>
      <c r="F6" s="2187" t="s">
        <v>205</v>
      </c>
      <c r="G6" s="2188" t="s">
        <v>207</v>
      </c>
    </row>
    <row r="7" spans="3:8" ht="24.75" customHeight="1" x14ac:dyDescent="0.25">
      <c r="C7" s="2189" t="s">
        <v>152</v>
      </c>
      <c r="D7" s="2190">
        <v>1572956</v>
      </c>
      <c r="E7" s="2190">
        <v>1680209</v>
      </c>
      <c r="F7" s="2191">
        <v>1602910</v>
      </c>
      <c r="G7" s="2192">
        <f>+F7/E7*100</f>
        <v>95.399441379018924</v>
      </c>
    </row>
    <row r="8" spans="3:8" ht="24.75" customHeight="1" x14ac:dyDescent="0.25">
      <c r="C8" s="2193" t="s">
        <v>270</v>
      </c>
      <c r="D8" s="2194">
        <v>1890727</v>
      </c>
      <c r="E8" s="2194">
        <v>2011742</v>
      </c>
      <c r="F8" s="2195">
        <v>1784861</v>
      </c>
      <c r="G8" s="2192">
        <f>+F8/E8*100</f>
        <v>88.722162185807136</v>
      </c>
    </row>
    <row r="9" spans="3:8" ht="24.75" customHeight="1" x14ac:dyDescent="0.25">
      <c r="C9" s="2196"/>
      <c r="D9" s="2197"/>
      <c r="E9" s="2197"/>
      <c r="F9" s="2198"/>
      <c r="G9" s="2199"/>
    </row>
    <row r="10" spans="3:8" ht="24.75" customHeight="1" thickBot="1" x14ac:dyDescent="0.3">
      <c r="C10" s="2200" t="s">
        <v>22</v>
      </c>
      <c r="D10" s="2201">
        <f>SUM(D7:D9)</f>
        <v>3463683</v>
      </c>
      <c r="E10" s="2201">
        <f>SUM(E7:E9)</f>
        <v>3691951</v>
      </c>
      <c r="F10" s="2201">
        <f>SUM(F7:F9)</f>
        <v>3387771</v>
      </c>
      <c r="G10" s="2202">
        <f>+F10/E10*100</f>
        <v>91.760995744526411</v>
      </c>
    </row>
    <row r="11" spans="3:8" ht="24.75" customHeight="1" x14ac:dyDescent="0.3">
      <c r="C11" s="2203" t="s">
        <v>132</v>
      </c>
      <c r="D11" s="2204">
        <v>45000</v>
      </c>
      <c r="E11" s="2205">
        <v>4334</v>
      </c>
      <c r="F11" s="2204">
        <v>3500</v>
      </c>
      <c r="G11" s="2206">
        <f>+F11/E11*100</f>
        <v>80.756806645131519</v>
      </c>
      <c r="H11" s="501"/>
    </row>
    <row r="12" spans="3:8" ht="33" customHeight="1" x14ac:dyDescent="0.3">
      <c r="C12" s="2207" t="s">
        <v>1421</v>
      </c>
      <c r="D12" s="2191">
        <v>92400</v>
      </c>
      <c r="E12" s="2208">
        <v>96904</v>
      </c>
      <c r="F12" s="2191">
        <v>84914</v>
      </c>
      <c r="G12" s="2192">
        <f>+F12/E12*100</f>
        <v>87.626929744902171</v>
      </c>
      <c r="H12" s="501"/>
    </row>
    <row r="13" spans="3:8" ht="33" customHeight="1" x14ac:dyDescent="0.3">
      <c r="C13" s="2209" t="s">
        <v>454</v>
      </c>
      <c r="D13" s="2191">
        <v>800</v>
      </c>
      <c r="E13" s="2208">
        <v>0</v>
      </c>
      <c r="F13" s="2191"/>
      <c r="G13" s="2192"/>
      <c r="H13" s="501"/>
    </row>
    <row r="14" spans="3:8" ht="24.75" customHeight="1" x14ac:dyDescent="0.3">
      <c r="C14" s="2210" t="s">
        <v>303</v>
      </c>
      <c r="D14" s="2211">
        <v>2000</v>
      </c>
      <c r="E14" s="2212">
        <v>0</v>
      </c>
      <c r="F14" s="2211"/>
      <c r="G14" s="2199"/>
      <c r="H14" s="501"/>
    </row>
    <row r="15" spans="3:8" ht="24.75" customHeight="1" x14ac:dyDescent="0.3">
      <c r="C15" s="2210" t="s">
        <v>304</v>
      </c>
      <c r="D15" s="2213">
        <v>4000</v>
      </c>
      <c r="E15" s="2211">
        <v>0</v>
      </c>
      <c r="F15" s="2211"/>
      <c r="G15" s="2199"/>
      <c r="H15" s="501"/>
    </row>
    <row r="16" spans="3:8" ht="24.75" customHeight="1" x14ac:dyDescent="0.3">
      <c r="C16" s="2210" t="s">
        <v>305</v>
      </c>
      <c r="D16" s="2213">
        <v>2000</v>
      </c>
      <c r="E16" s="2211">
        <v>0</v>
      </c>
      <c r="F16" s="2211"/>
      <c r="G16" s="2199"/>
      <c r="H16" s="501"/>
    </row>
    <row r="17" spans="3:8" ht="24.75" customHeight="1" x14ac:dyDescent="0.3">
      <c r="C17" s="2210" t="s">
        <v>239</v>
      </c>
      <c r="D17" s="2213">
        <v>3050</v>
      </c>
      <c r="E17" s="2213">
        <v>9456</v>
      </c>
      <c r="F17" s="2211">
        <v>7275</v>
      </c>
      <c r="G17" s="2199">
        <f t="shared" ref="G17:G38" si="0">+F17/E17*100</f>
        <v>76.935279187817258</v>
      </c>
      <c r="H17" s="501"/>
    </row>
    <row r="18" spans="3:8" ht="24.75" customHeight="1" x14ac:dyDescent="0.3">
      <c r="C18" s="2210" t="s">
        <v>2</v>
      </c>
      <c r="D18" s="2213">
        <v>10500</v>
      </c>
      <c r="E18" s="2213">
        <v>2945</v>
      </c>
      <c r="F18" s="2211">
        <v>2944</v>
      </c>
      <c r="G18" s="2199">
        <f t="shared" si="0"/>
        <v>99.966044142614592</v>
      </c>
      <c r="H18" s="501"/>
    </row>
    <row r="19" spans="3:8" ht="24.75" customHeight="1" x14ac:dyDescent="0.3">
      <c r="C19" s="2210" t="s">
        <v>258</v>
      </c>
      <c r="D19" s="2213">
        <v>500</v>
      </c>
      <c r="E19" s="2213">
        <v>500</v>
      </c>
      <c r="F19" s="2211"/>
      <c r="G19" s="2199">
        <f t="shared" si="0"/>
        <v>0</v>
      </c>
      <c r="H19" s="501"/>
    </row>
    <row r="20" spans="3:8" ht="41.25" customHeight="1" x14ac:dyDescent="0.3">
      <c r="C20" s="2214" t="s">
        <v>91</v>
      </c>
      <c r="D20" s="2213">
        <v>2000</v>
      </c>
      <c r="E20" s="2213">
        <v>1274</v>
      </c>
      <c r="F20" s="2211">
        <v>1273</v>
      </c>
      <c r="G20" s="2199">
        <f t="shared" si="0"/>
        <v>99.921507064364206</v>
      </c>
      <c r="H20" s="501"/>
    </row>
    <row r="21" spans="3:8" ht="24.75" customHeight="1" x14ac:dyDescent="0.3">
      <c r="C21" s="2215" t="s">
        <v>475</v>
      </c>
      <c r="D21" s="2213">
        <v>5000</v>
      </c>
      <c r="E21" s="2213">
        <v>4000</v>
      </c>
      <c r="F21" s="2211"/>
      <c r="G21" s="2199">
        <f t="shared" si="0"/>
        <v>0</v>
      </c>
      <c r="H21" s="501"/>
    </row>
    <row r="22" spans="3:8" ht="24.75" customHeight="1" x14ac:dyDescent="0.3">
      <c r="C22" s="2210" t="s">
        <v>1387</v>
      </c>
      <c r="D22" s="2213">
        <v>3400</v>
      </c>
      <c r="E22" s="2213">
        <v>5004</v>
      </c>
      <c r="F22" s="2211">
        <v>5004</v>
      </c>
      <c r="G22" s="2199">
        <f t="shared" si="0"/>
        <v>100</v>
      </c>
      <c r="H22" s="501"/>
    </row>
    <row r="23" spans="3:8" ht="24.75" customHeight="1" x14ac:dyDescent="0.3">
      <c r="C23" s="2210" t="s">
        <v>196</v>
      </c>
      <c r="D23" s="2213">
        <v>1250</v>
      </c>
      <c r="E23" s="2213">
        <v>1250</v>
      </c>
      <c r="F23" s="2211">
        <v>875</v>
      </c>
      <c r="G23" s="2199">
        <f t="shared" si="0"/>
        <v>70</v>
      </c>
      <c r="H23" s="501"/>
    </row>
    <row r="24" spans="3:8" ht="24.75" customHeight="1" x14ac:dyDescent="0.3">
      <c r="C24" s="2210" t="s">
        <v>209</v>
      </c>
      <c r="D24" s="2213">
        <v>20200</v>
      </c>
      <c r="E24" s="2213">
        <v>20428</v>
      </c>
      <c r="F24" s="2211">
        <v>16050</v>
      </c>
      <c r="G24" s="2199">
        <f t="shared" si="0"/>
        <v>78.568631290385753</v>
      </c>
      <c r="H24" s="501"/>
    </row>
    <row r="25" spans="3:8" ht="24.75" customHeight="1" x14ac:dyDescent="0.3">
      <c r="C25" s="2210" t="s">
        <v>3</v>
      </c>
      <c r="D25" s="2213">
        <v>200</v>
      </c>
      <c r="E25" s="2213">
        <v>225</v>
      </c>
      <c r="F25" s="2213">
        <v>225</v>
      </c>
      <c r="G25" s="2199">
        <f t="shared" si="0"/>
        <v>100</v>
      </c>
      <c r="H25" s="501"/>
    </row>
    <row r="26" spans="3:8" ht="24.75" customHeight="1" x14ac:dyDescent="0.3">
      <c r="C26" s="2216" t="s">
        <v>35</v>
      </c>
      <c r="D26" s="2213">
        <v>1500</v>
      </c>
      <c r="E26" s="2213">
        <v>1294</v>
      </c>
      <c r="F26" s="2211">
        <v>1293</v>
      </c>
      <c r="G26" s="2199">
        <f t="shared" si="0"/>
        <v>99.922720247295203</v>
      </c>
      <c r="H26" s="501"/>
    </row>
    <row r="27" spans="3:8" ht="41.25" customHeight="1" x14ac:dyDescent="0.3">
      <c r="C27" s="2214" t="s">
        <v>323</v>
      </c>
      <c r="D27" s="2213"/>
      <c r="E27" s="2213">
        <v>2000</v>
      </c>
      <c r="F27" s="2211">
        <v>2000</v>
      </c>
      <c r="G27" s="2199">
        <f t="shared" si="0"/>
        <v>100</v>
      </c>
      <c r="H27" s="502"/>
    </row>
    <row r="28" spans="3:8" ht="24.75" customHeight="1" x14ac:dyDescent="0.3">
      <c r="C28" s="2215" t="s">
        <v>58</v>
      </c>
      <c r="D28" s="2213">
        <v>6200</v>
      </c>
      <c r="E28" s="2213">
        <v>6679</v>
      </c>
      <c r="F28" s="2213">
        <v>5710</v>
      </c>
      <c r="G28" s="2199">
        <f t="shared" si="0"/>
        <v>85.491840095822724</v>
      </c>
      <c r="H28" s="501"/>
    </row>
    <row r="29" spans="3:8" ht="24.75" customHeight="1" x14ac:dyDescent="0.3">
      <c r="C29" s="2217" t="s">
        <v>165</v>
      </c>
      <c r="D29" s="2213">
        <v>30000</v>
      </c>
      <c r="E29" s="2213">
        <v>30000</v>
      </c>
      <c r="F29" s="2218">
        <v>30000</v>
      </c>
      <c r="G29" s="2199">
        <f t="shared" si="0"/>
        <v>100</v>
      </c>
      <c r="H29" s="501"/>
    </row>
    <row r="30" spans="3:8" ht="24.75" customHeight="1" x14ac:dyDescent="0.3">
      <c r="C30" s="2216" t="s">
        <v>92</v>
      </c>
      <c r="D30" s="2218">
        <v>2300</v>
      </c>
      <c r="E30" s="2218">
        <v>2615</v>
      </c>
      <c r="F30" s="2218">
        <v>2300</v>
      </c>
      <c r="G30" s="2199">
        <f t="shared" si="0"/>
        <v>87.954110898661568</v>
      </c>
      <c r="H30" s="501"/>
    </row>
    <row r="31" spans="3:8" ht="24.75" customHeight="1" x14ac:dyDescent="0.3">
      <c r="C31" s="2219" t="s">
        <v>17</v>
      </c>
      <c r="D31" s="2218">
        <v>800</v>
      </c>
      <c r="E31" s="2218">
        <v>1167</v>
      </c>
      <c r="F31" s="2218">
        <v>722</v>
      </c>
      <c r="G31" s="2199">
        <f t="shared" si="0"/>
        <v>61.868037703513281</v>
      </c>
      <c r="H31" s="501"/>
    </row>
    <row r="32" spans="3:8" ht="41.25" customHeight="1" x14ac:dyDescent="0.3">
      <c r="C32" s="2220" t="s">
        <v>166</v>
      </c>
      <c r="D32" s="2218">
        <v>14550</v>
      </c>
      <c r="E32" s="2218">
        <v>1050</v>
      </c>
      <c r="F32" s="2218"/>
      <c r="G32" s="2199">
        <f t="shared" si="0"/>
        <v>0</v>
      </c>
      <c r="H32" s="501"/>
    </row>
    <row r="33" spans="3:8" ht="33.75" customHeight="1" x14ac:dyDescent="0.3">
      <c r="C33" s="2214" t="s">
        <v>210</v>
      </c>
      <c r="D33" s="2218">
        <v>20000</v>
      </c>
      <c r="E33" s="2218">
        <v>24000</v>
      </c>
      <c r="F33" s="2218">
        <v>22000</v>
      </c>
      <c r="G33" s="2199">
        <f t="shared" si="0"/>
        <v>91.666666666666657</v>
      </c>
      <c r="H33" s="501"/>
    </row>
    <row r="34" spans="3:8" ht="33.75" customHeight="1" x14ac:dyDescent="0.3">
      <c r="C34" s="2221" t="s">
        <v>643</v>
      </c>
      <c r="D34" s="2218"/>
      <c r="E34" s="2218">
        <v>7000</v>
      </c>
      <c r="F34" s="2218"/>
      <c r="G34" s="2199">
        <f t="shared" si="0"/>
        <v>0</v>
      </c>
      <c r="H34" s="501"/>
    </row>
    <row r="35" spans="3:8" ht="41.25" customHeight="1" x14ac:dyDescent="0.3">
      <c r="C35" s="2222" t="s">
        <v>248</v>
      </c>
      <c r="D35" s="2218">
        <v>10000</v>
      </c>
      <c r="E35" s="2218">
        <v>10000</v>
      </c>
      <c r="F35" s="2218">
        <v>10000</v>
      </c>
      <c r="G35" s="2199">
        <f t="shared" si="0"/>
        <v>100</v>
      </c>
      <c r="H35" s="501"/>
    </row>
    <row r="36" spans="3:8" ht="24.75" customHeight="1" x14ac:dyDescent="0.3">
      <c r="C36" s="2217" t="s">
        <v>18</v>
      </c>
      <c r="D36" s="2213">
        <v>2000</v>
      </c>
      <c r="E36" s="2213">
        <v>7000</v>
      </c>
      <c r="F36" s="2213">
        <v>7000</v>
      </c>
      <c r="G36" s="2223">
        <f t="shared" si="0"/>
        <v>100</v>
      </c>
      <c r="H36" s="501"/>
    </row>
    <row r="37" spans="3:8" ht="24.75" customHeight="1" x14ac:dyDescent="0.3">
      <c r="C37" s="2217" t="s">
        <v>25</v>
      </c>
      <c r="D37" s="2213">
        <v>4290</v>
      </c>
      <c r="E37" s="2213">
        <v>0</v>
      </c>
      <c r="F37" s="2213"/>
      <c r="G37" s="2223"/>
      <c r="H37" s="501"/>
    </row>
    <row r="38" spans="3:8" ht="24.75" customHeight="1" x14ac:dyDescent="0.25">
      <c r="C38" s="2224" t="s">
        <v>276</v>
      </c>
      <c r="D38" s="2225">
        <v>20000</v>
      </c>
      <c r="E38" s="2225">
        <v>15911</v>
      </c>
      <c r="F38" s="2225">
        <v>10790</v>
      </c>
      <c r="G38" s="2199">
        <f t="shared" si="0"/>
        <v>67.814719376531968</v>
      </c>
    </row>
    <row r="39" spans="3:8" ht="24.75" customHeight="1" thickBot="1" x14ac:dyDescent="0.3">
      <c r="C39" s="2226" t="s">
        <v>37</v>
      </c>
      <c r="D39" s="2201">
        <f>SUM(D11:D38)</f>
        <v>303940</v>
      </c>
      <c r="E39" s="2201">
        <f>SUM(E11:E38)</f>
        <v>255036</v>
      </c>
      <c r="F39" s="2201">
        <f>SUM(F11:F38)</f>
        <v>213875</v>
      </c>
      <c r="G39" s="2227">
        <f>+F39/E39*100</f>
        <v>83.860709860568704</v>
      </c>
    </row>
    <row r="40" spans="3:8" s="28" customFormat="1" ht="24.75" customHeight="1" thickBot="1" x14ac:dyDescent="0.3">
      <c r="C40" s="2228" t="s">
        <v>309</v>
      </c>
      <c r="D40" s="2229">
        <f>D10+D39</f>
        <v>3767623</v>
      </c>
      <c r="E40" s="2229">
        <f>E10+E39</f>
        <v>3946987</v>
      </c>
      <c r="F40" s="2229">
        <f>F10+F39</f>
        <v>3601646</v>
      </c>
      <c r="G40" s="2230">
        <f>+F40/E40*100</f>
        <v>91.250515899849688</v>
      </c>
      <c r="H40" s="12"/>
    </row>
    <row r="41" spans="3:8" ht="24.75" customHeight="1" x14ac:dyDescent="0.2">
      <c r="C41" s="29"/>
      <c r="D41" s="6"/>
    </row>
    <row r="42" spans="3:8" ht="24.75" customHeight="1" x14ac:dyDescent="0.25">
      <c r="D42" s="6"/>
      <c r="E42" s="6"/>
      <c r="F42" s="6"/>
      <c r="H42" s="28"/>
    </row>
    <row r="43" spans="3:8" ht="24.75" customHeight="1" thickBot="1" x14ac:dyDescent="0.35">
      <c r="C43" s="210" t="s">
        <v>39</v>
      </c>
      <c r="D43" s="146"/>
      <c r="E43" s="146"/>
      <c r="G43" s="146" t="s">
        <v>38</v>
      </c>
    </row>
    <row r="44" spans="3:8" ht="24.75" customHeight="1" x14ac:dyDescent="0.25">
      <c r="C44" s="2231" t="s">
        <v>59</v>
      </c>
      <c r="D44" s="2661" t="s">
        <v>173</v>
      </c>
      <c r="E44" s="2662"/>
      <c r="F44" s="2183" t="s">
        <v>608</v>
      </c>
      <c r="G44" s="2232" t="s">
        <v>206</v>
      </c>
    </row>
    <row r="45" spans="3:8" ht="24.75" customHeight="1" thickBot="1" x14ac:dyDescent="0.3">
      <c r="C45" s="2233"/>
      <c r="D45" s="2186" t="s">
        <v>406</v>
      </c>
      <c r="E45" s="2186" t="s">
        <v>204</v>
      </c>
      <c r="F45" s="2187" t="s">
        <v>205</v>
      </c>
      <c r="G45" s="2234" t="s">
        <v>207</v>
      </c>
    </row>
    <row r="46" spans="3:8" ht="24.75" customHeight="1" x14ac:dyDescent="0.25">
      <c r="C46" s="2235" t="s">
        <v>152</v>
      </c>
      <c r="D46" s="2204"/>
      <c r="E46" s="2236">
        <v>82584</v>
      </c>
      <c r="F46" s="2237">
        <v>74335</v>
      </c>
      <c r="G46" s="2238">
        <f>F46/E46*100</f>
        <v>90.011382350092035</v>
      </c>
    </row>
    <row r="47" spans="3:8" ht="24.75" customHeight="1" x14ac:dyDescent="0.25">
      <c r="C47" s="2193" t="s">
        <v>1388</v>
      </c>
      <c r="D47" s="2239"/>
      <c r="E47" s="2240">
        <v>211002</v>
      </c>
      <c r="F47" s="2240">
        <v>209949</v>
      </c>
      <c r="G47" s="2241">
        <f>F47/E47*100</f>
        <v>99.500952597605703</v>
      </c>
    </row>
    <row r="48" spans="3:8" ht="24.75" customHeight="1" thickBot="1" x14ac:dyDescent="0.3">
      <c r="C48" s="2200" t="s">
        <v>4</v>
      </c>
      <c r="D48" s="2242">
        <f>SUM(D46:D47)</f>
        <v>0</v>
      </c>
      <c r="E48" s="2242">
        <f>SUM(E46:E47)</f>
        <v>293586</v>
      </c>
      <c r="F48" s="2242">
        <f>SUM(F46:F47)</f>
        <v>284284</v>
      </c>
      <c r="G48" s="2243">
        <f>F48/E48*100</f>
        <v>96.831592787122005</v>
      </c>
    </row>
    <row r="49" spans="3:7" ht="15" customHeight="1" thickBot="1" x14ac:dyDescent="0.3">
      <c r="C49" s="2244"/>
      <c r="D49" s="2245"/>
      <c r="E49" s="2245"/>
      <c r="F49" s="2246"/>
      <c r="G49" s="2247"/>
    </row>
    <row r="50" spans="3:7" ht="24.75" customHeight="1" thickBot="1" x14ac:dyDescent="0.3">
      <c r="C50" s="2248" t="s">
        <v>27</v>
      </c>
      <c r="D50" s="2249">
        <f>+D40+D48</f>
        <v>3767623</v>
      </c>
      <c r="E50" s="2249">
        <f>+E40+E48</f>
        <v>4240573</v>
      </c>
      <c r="F50" s="2249">
        <f>+F48+F40</f>
        <v>3885930</v>
      </c>
      <c r="G50" s="2250">
        <f>+F50/E50*100</f>
        <v>91.636908502695263</v>
      </c>
    </row>
    <row r="52" spans="3:7" ht="15" customHeight="1" x14ac:dyDescent="0.2">
      <c r="F52" s="6"/>
    </row>
    <row r="53" spans="3:7" ht="15" customHeight="1" x14ac:dyDescent="0.2">
      <c r="E53" s="24"/>
      <c r="F53" s="6"/>
    </row>
    <row r="54" spans="3:7" ht="15" customHeight="1" x14ac:dyDescent="0.2">
      <c r="F54" s="6"/>
    </row>
  </sheetData>
  <mergeCells count="4">
    <mergeCell ref="C1:D1"/>
    <mergeCell ref="D5:E5"/>
    <mergeCell ref="C2:G2"/>
    <mergeCell ref="D44:E44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horizontalDpi="300" verticalDpi="300" r:id="rId1"/>
  <headerFooter alignWithMargins="0">
    <oddHeader xml:space="preserve">&amp;C&amp;"Times New Roman CE,Félkövér"&amp;14
&amp;R&amp;"Arial CE,Félkövér"&amp;18 8. melléklet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K110"/>
  <sheetViews>
    <sheetView zoomScaleNormal="100" zoomScaleSheetLayoutView="75" workbookViewId="0">
      <selection activeCell="B1" sqref="B1:E1"/>
    </sheetView>
  </sheetViews>
  <sheetFormatPr defaultRowHeight="15" customHeight="1" x14ac:dyDescent="0.2"/>
  <cols>
    <col min="1" max="1" width="12.5" style="12" bestFit="1" customWidth="1"/>
    <col min="2" max="2" width="103.33203125" style="12" customWidth="1"/>
    <col min="3" max="6" width="20.6640625" style="12" customWidth="1"/>
    <col min="7" max="7" width="11.5" style="12" bestFit="1" customWidth="1"/>
    <col min="8" max="8" width="9.33203125" style="12"/>
    <col min="9" max="9" width="25" style="12" customWidth="1"/>
    <col min="10" max="10" width="59" style="12" customWidth="1"/>
    <col min="11" max="11" width="18.83203125" style="12" bestFit="1" customWidth="1"/>
    <col min="12" max="16384" width="9.33203125" style="12"/>
  </cols>
  <sheetData>
    <row r="1" spans="2:9" ht="15" customHeight="1" x14ac:dyDescent="0.25">
      <c r="B1" s="23"/>
    </row>
    <row r="2" spans="2:9" ht="24" customHeight="1" x14ac:dyDescent="0.35">
      <c r="B2" s="2663" t="s">
        <v>139</v>
      </c>
      <c r="C2" s="2663"/>
      <c r="D2" s="2663"/>
      <c r="E2" s="2663"/>
      <c r="F2" s="2663"/>
    </row>
    <row r="3" spans="2:9" ht="15" customHeight="1" x14ac:dyDescent="0.25">
      <c r="B3" s="23"/>
      <c r="C3" s="23"/>
    </row>
    <row r="4" spans="2:9" ht="24.75" customHeight="1" thickBot="1" x14ac:dyDescent="0.35">
      <c r="B4" s="1539" t="s">
        <v>300</v>
      </c>
      <c r="C4" s="1540"/>
      <c r="D4" s="420"/>
      <c r="E4" s="420"/>
      <c r="F4" s="1540" t="s">
        <v>38</v>
      </c>
    </row>
    <row r="5" spans="2:9" ht="24.75" customHeight="1" x14ac:dyDescent="0.25">
      <c r="B5" s="1541" t="s">
        <v>59</v>
      </c>
      <c r="C5" s="2664" t="s">
        <v>173</v>
      </c>
      <c r="D5" s="2664"/>
      <c r="E5" s="1547" t="s">
        <v>608</v>
      </c>
      <c r="F5" s="1545" t="s">
        <v>206</v>
      </c>
    </row>
    <row r="6" spans="2:9" ht="24.75" customHeight="1" thickBot="1" x14ac:dyDescent="0.3">
      <c r="B6" s="1542"/>
      <c r="C6" s="1543" t="s">
        <v>406</v>
      </c>
      <c r="D6" s="1544" t="s">
        <v>204</v>
      </c>
      <c r="E6" s="1548" t="s">
        <v>205</v>
      </c>
      <c r="F6" s="1546" t="s">
        <v>207</v>
      </c>
    </row>
    <row r="7" spans="2:9" s="29" customFormat="1" ht="17.100000000000001" customHeight="1" x14ac:dyDescent="0.25">
      <c r="B7" s="156" t="s">
        <v>140</v>
      </c>
      <c r="C7" s="157"/>
      <c r="D7" s="157"/>
      <c r="E7" s="157"/>
      <c r="F7" s="157"/>
    </row>
    <row r="8" spans="2:9" ht="24.95" customHeight="1" x14ac:dyDescent="0.25">
      <c r="B8" s="158" t="s">
        <v>141</v>
      </c>
      <c r="C8" s="159"/>
      <c r="D8" s="159"/>
      <c r="E8" s="159"/>
      <c r="F8" s="172"/>
    </row>
    <row r="9" spans="2:9" ht="38.25" customHeight="1" x14ac:dyDescent="0.2">
      <c r="B9" s="527" t="s">
        <v>500</v>
      </c>
      <c r="C9" s="441">
        <v>86525</v>
      </c>
      <c r="D9" s="441">
        <f>175955+300</f>
        <v>176255</v>
      </c>
      <c r="E9" s="441">
        <f>478525-E10-E11</f>
        <v>150889</v>
      </c>
      <c r="F9" s="456">
        <f t="shared" ref="F9:F38" si="0">+E9/D9*100</f>
        <v>85.608351536126634</v>
      </c>
      <c r="I9" s="6"/>
    </row>
    <row r="10" spans="2:9" ht="24.95" customHeight="1" x14ac:dyDescent="0.2">
      <c r="B10" s="457" t="s">
        <v>501</v>
      </c>
      <c r="C10" s="215">
        <v>267112</v>
      </c>
      <c r="D10" s="215">
        <v>320185</v>
      </c>
      <c r="E10" s="215">
        <v>320185</v>
      </c>
      <c r="F10" s="456">
        <f t="shared" si="0"/>
        <v>100</v>
      </c>
      <c r="I10" s="6"/>
    </row>
    <row r="11" spans="2:9" ht="40.5" customHeight="1" thickBot="1" x14ac:dyDescent="0.25">
      <c r="B11" s="528" t="s">
        <v>1391</v>
      </c>
      <c r="C11" s="215"/>
      <c r="D11" s="215">
        <v>7451</v>
      </c>
      <c r="E11" s="215">
        <v>7451</v>
      </c>
      <c r="F11" s="456">
        <f t="shared" si="0"/>
        <v>100</v>
      </c>
      <c r="I11" s="6"/>
    </row>
    <row r="12" spans="2:9" ht="24.95" customHeight="1" thickBot="1" x14ac:dyDescent="0.3">
      <c r="B12" s="161" t="s">
        <v>1389</v>
      </c>
      <c r="C12" s="162">
        <f>SUM(C9:C11)</f>
        <v>353637</v>
      </c>
      <c r="D12" s="162">
        <f>SUM(D9:D11)</f>
        <v>503891</v>
      </c>
      <c r="E12" s="162">
        <f>SUM(E9:E11)</f>
        <v>478525</v>
      </c>
      <c r="F12" s="173">
        <f t="shared" si="0"/>
        <v>94.965974784229118</v>
      </c>
      <c r="I12" s="6"/>
    </row>
    <row r="13" spans="2:9" ht="24.95" customHeight="1" x14ac:dyDescent="0.2">
      <c r="B13" s="458" t="s">
        <v>502</v>
      </c>
      <c r="C13" s="137">
        <v>11186</v>
      </c>
      <c r="D13" s="137">
        <v>12114</v>
      </c>
      <c r="E13" s="137"/>
      <c r="F13" s="174">
        <f t="shared" si="0"/>
        <v>0</v>
      </c>
      <c r="I13" s="6"/>
    </row>
    <row r="14" spans="2:9" ht="24.95" customHeight="1" x14ac:dyDescent="0.2">
      <c r="B14" s="458" t="s">
        <v>504</v>
      </c>
      <c r="C14" s="137">
        <v>39900</v>
      </c>
      <c r="D14" s="137">
        <v>39900</v>
      </c>
      <c r="E14" s="137">
        <v>39900</v>
      </c>
      <c r="F14" s="174">
        <f t="shared" si="0"/>
        <v>100</v>
      </c>
      <c r="I14" s="6"/>
    </row>
    <row r="15" spans="2:9" ht="24.95" customHeight="1" x14ac:dyDescent="0.2">
      <c r="B15" s="458" t="s">
        <v>505</v>
      </c>
      <c r="C15" s="137">
        <v>26600</v>
      </c>
      <c r="D15" s="137">
        <v>26600</v>
      </c>
      <c r="E15" s="137">
        <v>26600</v>
      </c>
      <c r="F15" s="174">
        <f t="shared" si="0"/>
        <v>100</v>
      </c>
      <c r="I15" s="6"/>
    </row>
    <row r="16" spans="2:9" ht="24.95" customHeight="1" x14ac:dyDescent="0.2">
      <c r="B16" s="458" t="s">
        <v>583</v>
      </c>
      <c r="C16" s="137">
        <v>30868</v>
      </c>
      <c r="D16" s="137">
        <v>55620</v>
      </c>
      <c r="E16" s="137">
        <f>129820-E14-E15-E17</f>
        <v>39813</v>
      </c>
      <c r="F16" s="174">
        <f t="shared" si="0"/>
        <v>71.580366774541531</v>
      </c>
      <c r="I16" s="6"/>
    </row>
    <row r="17" spans="2:9" ht="24.95" customHeight="1" thickBot="1" x14ac:dyDescent="0.25">
      <c r="B17" s="459" t="s">
        <v>1390</v>
      </c>
      <c r="C17" s="145"/>
      <c r="D17" s="145">
        <v>23507</v>
      </c>
      <c r="E17" s="145">
        <v>23507</v>
      </c>
      <c r="F17" s="174">
        <f t="shared" si="0"/>
        <v>100</v>
      </c>
      <c r="I17" s="6"/>
    </row>
    <row r="18" spans="2:9" ht="24.95" customHeight="1" thickBot="1" x14ac:dyDescent="0.3">
      <c r="B18" s="163" t="s">
        <v>480</v>
      </c>
      <c r="C18" s="162">
        <f>SUM(C13:C16)</f>
        <v>108554</v>
      </c>
      <c r="D18" s="162">
        <f>SUM(D13:D17)</f>
        <v>157741</v>
      </c>
      <c r="E18" s="162">
        <f>SUM(E13:E17)</f>
        <v>129820</v>
      </c>
      <c r="F18" s="173">
        <f t="shared" si="0"/>
        <v>82.299465579652718</v>
      </c>
      <c r="I18" s="6"/>
    </row>
    <row r="19" spans="2:9" ht="42" customHeight="1" x14ac:dyDescent="0.2">
      <c r="B19" s="460" t="s">
        <v>506</v>
      </c>
      <c r="C19" s="362">
        <v>107410</v>
      </c>
      <c r="D19" s="362">
        <v>137784</v>
      </c>
      <c r="E19" s="362">
        <f>410050-E20-E21-E22</f>
        <v>67476</v>
      </c>
      <c r="F19" s="363">
        <f t="shared" si="0"/>
        <v>48.972304476572027</v>
      </c>
      <c r="I19" s="6"/>
    </row>
    <row r="20" spans="2:9" ht="24.95" customHeight="1" x14ac:dyDescent="0.2">
      <c r="B20" s="461" t="s">
        <v>507</v>
      </c>
      <c r="C20" s="115">
        <v>164400</v>
      </c>
      <c r="D20" s="115">
        <v>164400</v>
      </c>
      <c r="E20" s="115">
        <v>164400</v>
      </c>
      <c r="F20" s="415">
        <f t="shared" si="0"/>
        <v>100</v>
      </c>
      <c r="I20" s="6"/>
    </row>
    <row r="21" spans="2:9" ht="24.95" customHeight="1" x14ac:dyDescent="0.2">
      <c r="B21" s="461" t="s">
        <v>508</v>
      </c>
      <c r="C21" s="115">
        <v>111000</v>
      </c>
      <c r="D21" s="115">
        <v>121251</v>
      </c>
      <c r="E21" s="115">
        <v>121251</v>
      </c>
      <c r="F21" s="415">
        <f t="shared" si="0"/>
        <v>100</v>
      </c>
      <c r="I21" s="6"/>
    </row>
    <row r="22" spans="2:9" ht="24.95" customHeight="1" thickBot="1" x14ac:dyDescent="0.25">
      <c r="B22" s="459" t="s">
        <v>533</v>
      </c>
      <c r="C22" s="145"/>
      <c r="D22" s="145">
        <v>56923</v>
      </c>
      <c r="E22" s="145">
        <v>56923</v>
      </c>
      <c r="F22" s="503">
        <f t="shared" si="0"/>
        <v>100</v>
      </c>
      <c r="I22" s="6"/>
    </row>
    <row r="23" spans="2:9" ht="24.95" customHeight="1" thickBot="1" x14ac:dyDescent="0.3">
      <c r="B23" s="216" t="s">
        <v>481</v>
      </c>
      <c r="C23" s="217">
        <f>SUM(C19:C21)</f>
        <v>382810</v>
      </c>
      <c r="D23" s="217">
        <f>SUM(D19:D22)</f>
        <v>480358</v>
      </c>
      <c r="E23" s="217">
        <f>SUM(E19:E22)</f>
        <v>410050</v>
      </c>
      <c r="F23" s="173">
        <f t="shared" si="0"/>
        <v>85.363416451896285</v>
      </c>
      <c r="I23" s="6"/>
    </row>
    <row r="24" spans="2:9" ht="24.95" customHeight="1" x14ac:dyDescent="0.2">
      <c r="B24" s="361" t="s">
        <v>509</v>
      </c>
      <c r="C24" s="362">
        <v>223122</v>
      </c>
      <c r="D24" s="362">
        <v>275612</v>
      </c>
      <c r="E24" s="362">
        <f>515957-E25-E26-E27</f>
        <v>237582</v>
      </c>
      <c r="F24" s="362">
        <f>SUM(F16:F23)</f>
        <v>688.21555328266254</v>
      </c>
      <c r="I24" s="6"/>
    </row>
    <row r="25" spans="2:9" ht="24.95" customHeight="1" x14ac:dyDescent="0.2">
      <c r="B25" s="400" t="s">
        <v>510</v>
      </c>
      <c r="C25" s="115">
        <v>139800</v>
      </c>
      <c r="D25" s="115">
        <v>139800</v>
      </c>
      <c r="E25" s="115">
        <v>139800</v>
      </c>
      <c r="F25" s="415">
        <f t="shared" si="0"/>
        <v>100</v>
      </c>
      <c r="I25" s="6"/>
    </row>
    <row r="26" spans="2:9" ht="24.95" customHeight="1" x14ac:dyDescent="0.2">
      <c r="B26" s="160" t="s">
        <v>1392</v>
      </c>
      <c r="C26" s="145"/>
      <c r="D26" s="145">
        <v>52229</v>
      </c>
      <c r="E26" s="145">
        <v>52229</v>
      </c>
      <c r="F26" s="174">
        <f t="shared" si="0"/>
        <v>100</v>
      </c>
      <c r="I26" s="6"/>
    </row>
    <row r="27" spans="2:9" ht="24.95" customHeight="1" thickBot="1" x14ac:dyDescent="0.25">
      <c r="B27" s="400" t="s">
        <v>511</v>
      </c>
      <c r="C27" s="115">
        <v>120050</v>
      </c>
      <c r="D27" s="115">
        <v>86346</v>
      </c>
      <c r="E27" s="115">
        <v>86346</v>
      </c>
      <c r="F27" s="174">
        <f t="shared" si="0"/>
        <v>100</v>
      </c>
      <c r="I27" s="6"/>
    </row>
    <row r="28" spans="2:9" ht="24.95" customHeight="1" thickBot="1" x14ac:dyDescent="0.3">
      <c r="B28" s="161" t="s">
        <v>5</v>
      </c>
      <c r="C28" s="162">
        <f>SUM(C24:C27)</f>
        <v>482972</v>
      </c>
      <c r="D28" s="162">
        <f>+D27+D24+D25+D26</f>
        <v>553987</v>
      </c>
      <c r="E28" s="162">
        <f>+E27+E24+E25+E26</f>
        <v>515957</v>
      </c>
      <c r="F28" s="173">
        <f t="shared" si="0"/>
        <v>93.135217974429011</v>
      </c>
      <c r="I28" s="6"/>
    </row>
    <row r="29" spans="2:9" ht="24.95" customHeight="1" x14ac:dyDescent="0.25">
      <c r="B29" s="462" t="s">
        <v>512</v>
      </c>
      <c r="C29" s="439">
        <v>51631</v>
      </c>
      <c r="D29" s="439">
        <v>181293</v>
      </c>
      <c r="E29" s="439">
        <f>344929-E30-E31-E32</f>
        <v>139945</v>
      </c>
      <c r="F29" s="463">
        <f t="shared" si="0"/>
        <v>77.192721175114315</v>
      </c>
      <c r="I29" s="6"/>
    </row>
    <row r="30" spans="2:9" ht="24.95" customHeight="1" x14ac:dyDescent="0.2">
      <c r="B30" s="464" t="s">
        <v>6</v>
      </c>
      <c r="C30" s="218">
        <v>119400</v>
      </c>
      <c r="D30" s="218">
        <v>119400</v>
      </c>
      <c r="E30" s="218">
        <v>119400</v>
      </c>
      <c r="F30" s="465">
        <f t="shared" si="0"/>
        <v>100</v>
      </c>
      <c r="I30" s="6"/>
    </row>
    <row r="31" spans="2:9" ht="24.95" customHeight="1" x14ac:dyDescent="0.2">
      <c r="B31" s="457" t="s">
        <v>513</v>
      </c>
      <c r="C31" s="215">
        <v>24000</v>
      </c>
      <c r="D31" s="215">
        <v>38320</v>
      </c>
      <c r="E31" s="215">
        <v>38320</v>
      </c>
      <c r="F31" s="466">
        <f t="shared" si="0"/>
        <v>100</v>
      </c>
      <c r="I31" s="6"/>
    </row>
    <row r="32" spans="2:9" ht="24.95" customHeight="1" thickBot="1" x14ac:dyDescent="0.25">
      <c r="B32" s="457" t="s">
        <v>1393</v>
      </c>
      <c r="C32" s="218"/>
      <c r="D32" s="218">
        <v>47264</v>
      </c>
      <c r="E32" s="218">
        <v>47264</v>
      </c>
      <c r="F32" s="465">
        <f t="shared" si="0"/>
        <v>100</v>
      </c>
      <c r="I32" s="6"/>
    </row>
    <row r="33" spans="2:11" ht="24.95" customHeight="1" thickBot="1" x14ac:dyDescent="0.3">
      <c r="B33" s="161" t="s">
        <v>317</v>
      </c>
      <c r="C33" s="162">
        <f>+C31+C29+C30+C32</f>
        <v>195031</v>
      </c>
      <c r="D33" s="162">
        <f>+D31+D29+D30+D32</f>
        <v>386277</v>
      </c>
      <c r="E33" s="162">
        <f>+E31+E29+E30+E32</f>
        <v>344929</v>
      </c>
      <c r="F33" s="173">
        <f t="shared" si="0"/>
        <v>89.295764438472915</v>
      </c>
      <c r="I33" s="6"/>
    </row>
    <row r="34" spans="2:11" ht="27" customHeight="1" x14ac:dyDescent="0.3">
      <c r="B34" s="361" t="s">
        <v>484</v>
      </c>
      <c r="C34" s="137">
        <v>165000</v>
      </c>
      <c r="D34" s="137">
        <v>165000</v>
      </c>
      <c r="E34" s="137">
        <f>377200-E35-E36</f>
        <v>165000</v>
      </c>
      <c r="F34" s="174">
        <f t="shared" si="0"/>
        <v>100</v>
      </c>
      <c r="I34" s="6"/>
      <c r="J34" s="502"/>
      <c r="K34" s="501"/>
    </row>
    <row r="35" spans="2:11" ht="40.5" customHeight="1" x14ac:dyDescent="0.3">
      <c r="B35" s="164" t="s">
        <v>584</v>
      </c>
      <c r="C35" s="145">
        <v>127300</v>
      </c>
      <c r="D35" s="145">
        <v>127300</v>
      </c>
      <c r="E35" s="145">
        <f>+'3 bev.részl'!I18</f>
        <v>127300</v>
      </c>
      <c r="F35" s="174">
        <f t="shared" si="0"/>
        <v>100</v>
      </c>
      <c r="I35" s="6"/>
      <c r="J35" s="502"/>
      <c r="K35" s="501"/>
    </row>
    <row r="36" spans="2:11" ht="40.5" customHeight="1" thickBot="1" x14ac:dyDescent="0.35">
      <c r="B36" s="344" t="s">
        <v>1394</v>
      </c>
      <c r="C36" s="154">
        <v>84900</v>
      </c>
      <c r="D36" s="154">
        <v>84900</v>
      </c>
      <c r="E36" s="154">
        <f>+'3 bev.részl'!I19</f>
        <v>84900</v>
      </c>
      <c r="F36" s="174">
        <f t="shared" si="0"/>
        <v>100</v>
      </c>
      <c r="I36" s="6"/>
      <c r="J36" s="502"/>
      <c r="K36" s="501"/>
    </row>
    <row r="37" spans="2:11" s="110" customFormat="1" ht="24.95" customHeight="1" thickBot="1" x14ac:dyDescent="0.35">
      <c r="B37" s="161" t="s">
        <v>142</v>
      </c>
      <c r="C37" s="165">
        <f>SUM(C34:C36)</f>
        <v>377200</v>
      </c>
      <c r="D37" s="165">
        <f>SUM(D34:D36)</f>
        <v>377200</v>
      </c>
      <c r="E37" s="165">
        <f>SUM(E34:E36)</f>
        <v>377200</v>
      </c>
      <c r="F37" s="173">
        <f t="shared" si="0"/>
        <v>100</v>
      </c>
      <c r="I37" s="6"/>
      <c r="J37" s="502"/>
      <c r="K37" s="501"/>
    </row>
    <row r="38" spans="2:11" ht="24.95" customHeight="1" thickBot="1" x14ac:dyDescent="0.35">
      <c r="B38" s="219" t="s">
        <v>143</v>
      </c>
      <c r="C38" s="152">
        <f>+C12+C18+C23+C28+C33+C37</f>
        <v>1900204</v>
      </c>
      <c r="D38" s="152">
        <f>+D12+D18+D23+D28+D33+D37</f>
        <v>2459454</v>
      </c>
      <c r="E38" s="152">
        <f>+E12+E18+E23+E28+E33+E37</f>
        <v>2256481</v>
      </c>
      <c r="F38" s="173">
        <f t="shared" si="0"/>
        <v>91.74723332902343</v>
      </c>
      <c r="G38" s="6"/>
      <c r="I38" s="6"/>
      <c r="J38" s="502"/>
      <c r="K38" s="501"/>
    </row>
    <row r="39" spans="2:11" ht="24.95" customHeight="1" x14ac:dyDescent="0.3">
      <c r="B39" s="166" t="s">
        <v>1395</v>
      </c>
      <c r="C39" s="362"/>
      <c r="D39" s="362"/>
      <c r="E39" s="362"/>
      <c r="F39" s="363"/>
      <c r="I39" s="6"/>
      <c r="J39" s="502"/>
      <c r="K39" s="501"/>
    </row>
    <row r="40" spans="2:11" ht="24.95" customHeight="1" x14ac:dyDescent="0.3">
      <c r="B40" s="378" t="s">
        <v>488</v>
      </c>
      <c r="C40" s="368">
        <v>2000</v>
      </c>
      <c r="D40" s="368">
        <v>2000</v>
      </c>
      <c r="E40" s="368">
        <v>2000</v>
      </c>
      <c r="F40" s="369">
        <f t="shared" ref="F40:F55" si="1">+E40/D40*100</f>
        <v>100</v>
      </c>
      <c r="I40" s="6"/>
      <c r="J40" s="502"/>
      <c r="K40" s="501"/>
    </row>
    <row r="41" spans="2:11" s="29" customFormat="1" ht="24.95" customHeight="1" x14ac:dyDescent="0.3">
      <c r="B41" s="171" t="s">
        <v>7</v>
      </c>
      <c r="C41" s="370">
        <v>1200</v>
      </c>
      <c r="D41" s="370">
        <v>1200</v>
      </c>
      <c r="E41" s="370">
        <v>1200</v>
      </c>
      <c r="F41" s="369">
        <f t="shared" si="1"/>
        <v>100</v>
      </c>
      <c r="I41" s="6"/>
      <c r="J41" s="502"/>
      <c r="K41" s="501"/>
    </row>
    <row r="42" spans="2:11" ht="24.95" customHeight="1" x14ac:dyDescent="0.3">
      <c r="B42" s="379" t="s">
        <v>240</v>
      </c>
      <c r="C42" s="226">
        <v>2000</v>
      </c>
      <c r="D42" s="226">
        <v>2000</v>
      </c>
      <c r="E42" s="226">
        <v>2000</v>
      </c>
      <c r="F42" s="369">
        <f t="shared" si="1"/>
        <v>100</v>
      </c>
      <c r="I42" s="6"/>
      <c r="J42" s="502"/>
      <c r="K42" s="501"/>
    </row>
    <row r="43" spans="2:11" s="29" customFormat="1" ht="24.95" customHeight="1" x14ac:dyDescent="0.3">
      <c r="B43" s="171" t="s">
        <v>241</v>
      </c>
      <c r="C43" s="370">
        <v>3000</v>
      </c>
      <c r="D43" s="370">
        <v>3000</v>
      </c>
      <c r="E43" s="370">
        <v>3000</v>
      </c>
      <c r="F43" s="369">
        <f t="shared" si="1"/>
        <v>100</v>
      </c>
      <c r="I43" s="6"/>
      <c r="J43" s="502"/>
      <c r="K43" s="501"/>
    </row>
    <row r="44" spans="2:11" ht="24.95" customHeight="1" x14ac:dyDescent="0.3">
      <c r="B44" s="378" t="s">
        <v>242</v>
      </c>
      <c r="C44" s="226">
        <v>17000</v>
      </c>
      <c r="D44" s="226">
        <v>17000</v>
      </c>
      <c r="E44" s="226">
        <v>17000</v>
      </c>
      <c r="F44" s="369">
        <f t="shared" si="1"/>
        <v>100</v>
      </c>
      <c r="I44" s="6"/>
      <c r="J44" s="502"/>
      <c r="K44" s="501"/>
    </row>
    <row r="45" spans="2:11" s="29" customFormat="1" ht="24.95" customHeight="1" x14ac:dyDescent="0.3">
      <c r="B45" s="171" t="s">
        <v>243</v>
      </c>
      <c r="C45" s="370">
        <v>1000</v>
      </c>
      <c r="D45" s="370">
        <v>1000</v>
      </c>
      <c r="E45" s="370">
        <v>1000</v>
      </c>
      <c r="F45" s="369">
        <f t="shared" si="1"/>
        <v>100</v>
      </c>
      <c r="I45" s="6"/>
      <c r="J45" s="502"/>
      <c r="K45" s="501"/>
    </row>
    <row r="46" spans="2:11" ht="24.95" customHeight="1" x14ac:dyDescent="0.3">
      <c r="B46" s="379" t="s">
        <v>244</v>
      </c>
      <c r="C46" s="226">
        <v>1000</v>
      </c>
      <c r="D46" s="226">
        <v>1000</v>
      </c>
      <c r="E46" s="226">
        <v>1000</v>
      </c>
      <c r="F46" s="369">
        <f t="shared" si="1"/>
        <v>100</v>
      </c>
      <c r="I46" s="6"/>
      <c r="J46" s="502"/>
      <c r="K46" s="501"/>
    </row>
    <row r="47" spans="2:11" ht="24.95" customHeight="1" x14ac:dyDescent="0.3">
      <c r="B47" s="378" t="s">
        <v>8</v>
      </c>
      <c r="C47" s="371">
        <v>650</v>
      </c>
      <c r="D47" s="371">
        <v>650</v>
      </c>
      <c r="E47" s="371">
        <v>650</v>
      </c>
      <c r="F47" s="372">
        <f t="shared" si="1"/>
        <v>100</v>
      </c>
      <c r="I47" s="6"/>
      <c r="J47" s="502"/>
      <c r="K47" s="501"/>
    </row>
    <row r="48" spans="2:11" ht="24.95" customHeight="1" x14ac:dyDescent="0.3">
      <c r="B48" s="400" t="s">
        <v>36</v>
      </c>
      <c r="C48" s="373">
        <v>1000</v>
      </c>
      <c r="D48" s="373">
        <v>1000</v>
      </c>
      <c r="E48" s="373">
        <v>1000</v>
      </c>
      <c r="F48" s="372">
        <f t="shared" si="1"/>
        <v>100</v>
      </c>
      <c r="I48" s="6"/>
      <c r="J48" s="502"/>
      <c r="K48" s="501"/>
    </row>
    <row r="49" spans="1:11" ht="24.95" customHeight="1" x14ac:dyDescent="0.3">
      <c r="B49" s="378" t="s">
        <v>1396</v>
      </c>
      <c r="C49" s="371">
        <v>2500</v>
      </c>
      <c r="D49" s="371">
        <v>2500</v>
      </c>
      <c r="E49" s="371">
        <v>2500</v>
      </c>
      <c r="F49" s="372">
        <f t="shared" si="1"/>
        <v>100</v>
      </c>
      <c r="I49" s="6"/>
      <c r="J49" s="502"/>
      <c r="K49" s="501"/>
    </row>
    <row r="50" spans="1:11" ht="24.95" customHeight="1" x14ac:dyDescent="0.3">
      <c r="B50" s="402" t="s">
        <v>277</v>
      </c>
      <c r="C50" s="371">
        <v>400</v>
      </c>
      <c r="D50" s="371">
        <v>400</v>
      </c>
      <c r="E50" s="371">
        <v>400</v>
      </c>
      <c r="F50" s="372">
        <f t="shared" si="1"/>
        <v>100</v>
      </c>
      <c r="I50" s="6"/>
      <c r="J50" s="502"/>
      <c r="K50" s="501"/>
    </row>
    <row r="51" spans="1:11" ht="24.95" customHeight="1" x14ac:dyDescent="0.3">
      <c r="B51" s="379" t="s">
        <v>278</v>
      </c>
      <c r="C51" s="226">
        <v>1500</v>
      </c>
      <c r="D51" s="226">
        <v>1500</v>
      </c>
      <c r="E51" s="226">
        <v>1500</v>
      </c>
      <c r="F51" s="369">
        <f t="shared" si="1"/>
        <v>100</v>
      </c>
      <c r="I51" s="6"/>
      <c r="J51" s="502"/>
      <c r="K51" s="501"/>
    </row>
    <row r="52" spans="1:11" ht="24.95" customHeight="1" x14ac:dyDescent="0.3">
      <c r="B52" s="402" t="s">
        <v>436</v>
      </c>
      <c r="C52" s="371">
        <v>1600</v>
      </c>
      <c r="D52" s="371">
        <v>1600</v>
      </c>
      <c r="E52" s="371">
        <v>1600</v>
      </c>
      <c r="F52" s="369">
        <f t="shared" si="1"/>
        <v>100</v>
      </c>
      <c r="I52" s="6"/>
      <c r="J52" s="502"/>
      <c r="K52" s="501"/>
    </row>
    <row r="53" spans="1:11" ht="36" customHeight="1" x14ac:dyDescent="0.3">
      <c r="B53" s="418" t="s">
        <v>51</v>
      </c>
      <c r="C53" s="411">
        <v>1000</v>
      </c>
      <c r="D53" s="411">
        <v>1000</v>
      </c>
      <c r="E53" s="411">
        <v>1000</v>
      </c>
      <c r="F53" s="417">
        <f t="shared" si="1"/>
        <v>100</v>
      </c>
      <c r="I53" s="6"/>
      <c r="J53" s="502"/>
      <c r="K53" s="501"/>
    </row>
    <row r="54" spans="1:11" ht="24.95" customHeight="1" thickBot="1" x14ac:dyDescent="0.35">
      <c r="B54" s="336" t="s">
        <v>1395</v>
      </c>
      <c r="C54" s="374">
        <f>SUM(C40:C53)</f>
        <v>35850</v>
      </c>
      <c r="D54" s="374">
        <f>SUM(D40:D53)</f>
        <v>35850</v>
      </c>
      <c r="E54" s="374">
        <f>SUM(E40:E53)</f>
        <v>35850</v>
      </c>
      <c r="F54" s="375">
        <f t="shared" si="1"/>
        <v>100</v>
      </c>
      <c r="I54" s="6"/>
      <c r="J54" s="502"/>
      <c r="K54" s="501"/>
    </row>
    <row r="55" spans="1:11" ht="33" customHeight="1" thickBot="1" x14ac:dyDescent="0.35">
      <c r="B55" s="220" t="s">
        <v>144</v>
      </c>
      <c r="C55" s="116">
        <f>C38+C54</f>
        <v>1936054</v>
      </c>
      <c r="D55" s="116">
        <f>D38+D54</f>
        <v>2495304</v>
      </c>
      <c r="E55" s="116">
        <f>E38+E54</f>
        <v>2292331</v>
      </c>
      <c r="F55" s="173">
        <f t="shared" si="1"/>
        <v>91.865800720072585</v>
      </c>
      <c r="I55" s="6"/>
      <c r="J55" s="502"/>
      <c r="K55" s="502"/>
    </row>
    <row r="56" spans="1:11" s="29" customFormat="1" ht="24.75" customHeight="1" x14ac:dyDescent="0.3">
      <c r="B56" s="167" t="s">
        <v>482</v>
      </c>
      <c r="C56" s="168"/>
      <c r="D56" s="168"/>
      <c r="E56" s="168"/>
      <c r="F56" s="175"/>
      <c r="I56" s="6"/>
      <c r="J56" s="502"/>
      <c r="K56" s="502"/>
    </row>
    <row r="57" spans="1:11" s="29" customFormat="1" ht="24.75" customHeight="1" x14ac:dyDescent="0.3">
      <c r="B57" s="183"/>
      <c r="C57" s="169"/>
      <c r="D57" s="169"/>
      <c r="E57" s="169"/>
      <c r="F57" s="176"/>
      <c r="I57" s="6"/>
      <c r="J57" s="502"/>
      <c r="K57" s="502"/>
    </row>
    <row r="58" spans="1:11" ht="24.75" customHeight="1" thickBot="1" x14ac:dyDescent="0.35">
      <c r="B58" s="220" t="s">
        <v>167</v>
      </c>
      <c r="C58" s="116">
        <v>10000</v>
      </c>
      <c r="D58" s="116">
        <v>10968</v>
      </c>
      <c r="E58" s="116">
        <v>10643</v>
      </c>
      <c r="F58" s="228">
        <f>+E58/D58*100</f>
        <v>97.036834427425234</v>
      </c>
      <c r="I58" s="6"/>
      <c r="J58" s="502"/>
      <c r="K58" s="502"/>
    </row>
    <row r="59" spans="1:11" s="29" customFormat="1" ht="24.75" customHeight="1" x14ac:dyDescent="0.3">
      <c r="B59" s="167" t="s">
        <v>145</v>
      </c>
      <c r="C59" s="168"/>
      <c r="D59" s="168"/>
      <c r="E59" s="168"/>
      <c r="F59" s="175"/>
      <c r="I59" s="6"/>
      <c r="J59" s="502"/>
      <c r="K59" s="502"/>
    </row>
    <row r="60" spans="1:11" ht="18" customHeight="1" x14ac:dyDescent="0.3">
      <c r="B60" s="223"/>
      <c r="C60" s="221"/>
      <c r="D60" s="221"/>
      <c r="E60" s="221"/>
      <c r="F60" s="222"/>
      <c r="I60" s="6"/>
      <c r="J60" s="502"/>
      <c r="K60" s="502"/>
    </row>
    <row r="61" spans="1:11" s="29" customFormat="1" ht="24.75" customHeight="1" x14ac:dyDescent="0.3">
      <c r="B61" s="170" t="s">
        <v>146</v>
      </c>
      <c r="C61" s="168"/>
      <c r="D61" s="168"/>
      <c r="E61" s="168"/>
      <c r="F61" s="175"/>
      <c r="I61" s="6"/>
      <c r="J61" s="502"/>
      <c r="K61" s="501"/>
    </row>
    <row r="62" spans="1:11" ht="29.25" customHeight="1" x14ac:dyDescent="0.3">
      <c r="B62" s="225" t="s">
        <v>338</v>
      </c>
      <c r="C62" s="226"/>
      <c r="D62" s="226">
        <v>5000</v>
      </c>
      <c r="E62" s="226">
        <v>5000</v>
      </c>
      <c r="F62" s="174">
        <f>+E62/D62*100</f>
        <v>100</v>
      </c>
      <c r="I62" s="6"/>
      <c r="J62" s="502"/>
      <c r="K62" s="501"/>
    </row>
    <row r="63" spans="1:11" ht="41.25" customHeight="1" x14ac:dyDescent="0.3">
      <c r="A63" s="445"/>
      <c r="B63" s="225" t="s">
        <v>1397</v>
      </c>
      <c r="C63" s="226">
        <v>800000</v>
      </c>
      <c r="D63" s="226">
        <v>588676</v>
      </c>
      <c r="E63" s="226">
        <v>588533</v>
      </c>
      <c r="F63" s="174">
        <f>+E63/D63*100</f>
        <v>99.975708199416999</v>
      </c>
      <c r="I63" s="6"/>
      <c r="J63" s="502"/>
      <c r="K63" s="501"/>
    </row>
    <row r="64" spans="1:11" ht="24.95" customHeight="1" thickBot="1" x14ac:dyDescent="0.35">
      <c r="B64" s="220" t="s">
        <v>147</v>
      </c>
      <c r="C64" s="116">
        <f>SUM(C62:C63)</f>
        <v>800000</v>
      </c>
      <c r="D64" s="116">
        <f>SUM(D62:D63)</f>
        <v>593676</v>
      </c>
      <c r="E64" s="116">
        <f>SUM(E62:E63)</f>
        <v>593533</v>
      </c>
      <c r="F64" s="228">
        <f>+E64/D64*100</f>
        <v>99.975912787446347</v>
      </c>
      <c r="I64" s="6"/>
      <c r="J64" s="502"/>
      <c r="K64" s="502"/>
    </row>
    <row r="65" spans="2:11" ht="24.95" customHeight="1" thickBot="1" x14ac:dyDescent="0.35">
      <c r="B65" s="220" t="s">
        <v>148</v>
      </c>
      <c r="C65" s="116">
        <f>+C64</f>
        <v>800000</v>
      </c>
      <c r="D65" s="116">
        <f>+D64</f>
        <v>593676</v>
      </c>
      <c r="E65" s="116">
        <f>+E64</f>
        <v>593533</v>
      </c>
      <c r="F65" s="173">
        <f>+E65/D65*100</f>
        <v>99.975912787446347</v>
      </c>
      <c r="I65" s="6"/>
      <c r="J65" s="502"/>
      <c r="K65" s="502"/>
    </row>
    <row r="66" spans="2:11" s="29" customFormat="1" ht="24.95" customHeight="1" x14ac:dyDescent="0.3">
      <c r="B66" s="167" t="s">
        <v>149</v>
      </c>
      <c r="C66" s="168"/>
      <c r="D66" s="168"/>
      <c r="E66" s="168"/>
      <c r="F66" s="175"/>
      <c r="I66" s="6"/>
      <c r="J66" s="502"/>
      <c r="K66" s="502"/>
    </row>
    <row r="67" spans="2:11" s="29" customFormat="1" ht="40.5" customHeight="1" x14ac:dyDescent="0.3">
      <c r="B67" s="526" t="s">
        <v>483</v>
      </c>
      <c r="C67" s="169"/>
      <c r="D67" s="169"/>
      <c r="E67" s="169"/>
      <c r="F67" s="176"/>
      <c r="I67" s="6"/>
      <c r="J67" s="502"/>
      <c r="K67" s="502"/>
    </row>
    <row r="68" spans="2:11" ht="24.95" customHeight="1" x14ac:dyDescent="0.3">
      <c r="B68" s="171" t="s">
        <v>1398</v>
      </c>
      <c r="C68" s="226">
        <v>1400</v>
      </c>
      <c r="D68" s="226">
        <v>2687</v>
      </c>
      <c r="E68" s="226">
        <v>1255</v>
      </c>
      <c r="F68" s="369">
        <f t="shared" ref="F68:F74" si="2">+E68/D68*100</f>
        <v>46.706363974692962</v>
      </c>
      <c r="I68" s="6"/>
      <c r="J68" s="502"/>
      <c r="K68" s="502"/>
    </row>
    <row r="69" spans="2:11" s="29" customFormat="1" ht="24.95" customHeight="1" x14ac:dyDescent="0.3">
      <c r="B69" s="171" t="s">
        <v>11</v>
      </c>
      <c r="C69" s="370">
        <v>25218</v>
      </c>
      <c r="D69" s="370">
        <v>25218</v>
      </c>
      <c r="E69" s="370">
        <v>25218</v>
      </c>
      <c r="F69" s="369">
        <f t="shared" si="2"/>
        <v>100</v>
      </c>
      <c r="I69" s="6"/>
      <c r="J69" s="502"/>
      <c r="K69" s="502"/>
    </row>
    <row r="70" spans="2:11" s="29" customFormat="1" ht="45" customHeight="1" x14ac:dyDescent="0.3">
      <c r="B70" s="171" t="s">
        <v>1399</v>
      </c>
      <c r="C70" s="370">
        <v>6000</v>
      </c>
      <c r="D70" s="370">
        <v>13000</v>
      </c>
      <c r="E70" s="370">
        <v>13000</v>
      </c>
      <c r="F70" s="369">
        <f t="shared" si="2"/>
        <v>100</v>
      </c>
      <c r="I70" s="6"/>
      <c r="J70" s="502"/>
      <c r="K70" s="502"/>
    </row>
    <row r="71" spans="2:11" s="29" customFormat="1" ht="24.95" customHeight="1" x14ac:dyDescent="0.3">
      <c r="B71" s="171" t="s">
        <v>534</v>
      </c>
      <c r="C71" s="370"/>
      <c r="D71" s="370">
        <v>12290</v>
      </c>
      <c r="E71" s="370">
        <v>12290</v>
      </c>
      <c r="F71" s="369">
        <f t="shared" si="2"/>
        <v>100</v>
      </c>
      <c r="I71" s="6"/>
      <c r="J71" s="502"/>
      <c r="K71" s="502"/>
    </row>
    <row r="72" spans="2:11" ht="45" customHeight="1" x14ac:dyDescent="0.3">
      <c r="B72" s="171" t="s">
        <v>1400</v>
      </c>
      <c r="C72" s="376"/>
      <c r="D72" s="376">
        <v>762</v>
      </c>
      <c r="E72" s="376"/>
      <c r="F72" s="369">
        <f t="shared" si="2"/>
        <v>0</v>
      </c>
      <c r="I72" s="6"/>
      <c r="J72" s="502"/>
      <c r="K72" s="502"/>
    </row>
    <row r="73" spans="2:11" ht="48" customHeight="1" x14ac:dyDescent="0.3">
      <c r="B73" s="418" t="s">
        <v>220</v>
      </c>
      <c r="C73" s="1551">
        <v>1000</v>
      </c>
      <c r="D73" s="1551">
        <v>1000</v>
      </c>
      <c r="E73" s="1551">
        <v>1000</v>
      </c>
      <c r="F73" s="417">
        <f t="shared" si="2"/>
        <v>100</v>
      </c>
      <c r="I73" s="6"/>
      <c r="J73" s="502"/>
      <c r="K73" s="502"/>
    </row>
    <row r="74" spans="2:11" ht="24.95" customHeight="1" thickBot="1" x14ac:dyDescent="0.35">
      <c r="B74" s="220" t="s">
        <v>150</v>
      </c>
      <c r="C74" s="227">
        <f>SUM(C67:C73)</f>
        <v>33618</v>
      </c>
      <c r="D74" s="227">
        <f>SUM(D67:D73)</f>
        <v>54957</v>
      </c>
      <c r="E74" s="227">
        <f>SUM(E67:E73)</f>
        <v>52763</v>
      </c>
      <c r="F74" s="377">
        <f t="shared" si="2"/>
        <v>96.00778790690903</v>
      </c>
      <c r="I74" s="6"/>
      <c r="J74" s="502"/>
      <c r="K74" s="502"/>
    </row>
    <row r="75" spans="2:11" s="29" customFormat="1" ht="24.95" customHeight="1" x14ac:dyDescent="0.3">
      <c r="B75" s="170" t="s">
        <v>377</v>
      </c>
      <c r="C75" s="168"/>
      <c r="D75" s="168"/>
      <c r="E75" s="168"/>
      <c r="F75" s="175"/>
      <c r="I75" s="6"/>
      <c r="J75" s="502"/>
      <c r="K75" s="502"/>
    </row>
    <row r="76" spans="2:11" ht="24.95" customHeight="1" x14ac:dyDescent="0.3">
      <c r="B76" s="380" t="s">
        <v>297</v>
      </c>
      <c r="C76" s="226">
        <v>1500</v>
      </c>
      <c r="D76" s="226">
        <v>1500</v>
      </c>
      <c r="E76" s="226">
        <v>1500</v>
      </c>
      <c r="F76" s="369">
        <f>+E76/D76*100</f>
        <v>100</v>
      </c>
      <c r="I76" s="6"/>
      <c r="J76" s="502"/>
      <c r="K76" s="502"/>
    </row>
    <row r="77" spans="2:11" ht="24.95" customHeight="1" x14ac:dyDescent="0.3">
      <c r="B77" s="380" t="s">
        <v>1401</v>
      </c>
      <c r="C77" s="226">
        <v>300</v>
      </c>
      <c r="D77" s="226">
        <f>361-300</f>
        <v>61</v>
      </c>
      <c r="E77" s="226">
        <v>16</v>
      </c>
      <c r="F77" s="369">
        <f>+E77/D77*100</f>
        <v>26.229508196721312</v>
      </c>
      <c r="I77" s="6"/>
      <c r="J77" s="502"/>
      <c r="K77" s="502"/>
    </row>
    <row r="78" spans="2:11" ht="24.95" customHeight="1" thickBot="1" x14ac:dyDescent="0.35">
      <c r="B78" s="220" t="s">
        <v>395</v>
      </c>
      <c r="C78" s="116">
        <f>SUM(C76:C77)</f>
        <v>1800</v>
      </c>
      <c r="D78" s="116">
        <f>SUM(D76:D77)</f>
        <v>1561</v>
      </c>
      <c r="E78" s="116">
        <f>SUM(E76:E77)</f>
        <v>1516</v>
      </c>
      <c r="F78" s="228">
        <f>+E78/D78*100</f>
        <v>97.117232543241514</v>
      </c>
      <c r="I78" s="6"/>
      <c r="J78" s="502"/>
      <c r="K78" s="502"/>
    </row>
    <row r="79" spans="2:11" ht="24.75" customHeight="1" thickBot="1" x14ac:dyDescent="0.35">
      <c r="B79" s="220" t="s">
        <v>396</v>
      </c>
      <c r="C79" s="116">
        <f>C74+C78</f>
        <v>35418</v>
      </c>
      <c r="D79" s="116">
        <f>D74+D78</f>
        <v>56518</v>
      </c>
      <c r="E79" s="116">
        <f>E74+E78</f>
        <v>54279</v>
      </c>
      <c r="F79" s="173">
        <f>+E79/D79*100</f>
        <v>96.038430234615518</v>
      </c>
      <c r="I79" s="6"/>
      <c r="J79" s="502"/>
      <c r="K79" s="502"/>
    </row>
    <row r="80" spans="2:11" s="29" customFormat="1" ht="24.75" customHeight="1" x14ac:dyDescent="0.3">
      <c r="B80" s="158" t="s">
        <v>397</v>
      </c>
      <c r="C80" s="169"/>
      <c r="D80" s="169"/>
      <c r="E80" s="169"/>
      <c r="F80" s="176"/>
      <c r="I80" s="6"/>
      <c r="J80" s="502"/>
      <c r="K80" s="502"/>
    </row>
    <row r="81" spans="2:11" ht="24.75" customHeight="1" x14ac:dyDescent="0.3">
      <c r="B81" s="400" t="s">
        <v>298</v>
      </c>
      <c r="C81" s="115">
        <v>89000</v>
      </c>
      <c r="D81" s="115">
        <v>89000</v>
      </c>
      <c r="E81" s="115">
        <v>89000</v>
      </c>
      <c r="F81" s="415">
        <f t="shared" ref="F81:F87" si="3">+E81/D81*100</f>
        <v>100</v>
      </c>
      <c r="I81" s="6"/>
      <c r="J81" s="502"/>
      <c r="K81" s="502"/>
    </row>
    <row r="82" spans="2:11" ht="24.75" customHeight="1" x14ac:dyDescent="0.3">
      <c r="B82" s="400" t="s">
        <v>249</v>
      </c>
      <c r="C82" s="115">
        <v>40000</v>
      </c>
      <c r="D82" s="115">
        <v>42000</v>
      </c>
      <c r="E82" s="115">
        <v>40448</v>
      </c>
      <c r="F82" s="415">
        <f t="shared" si="3"/>
        <v>96.304761904761904</v>
      </c>
      <c r="I82" s="6"/>
      <c r="J82" s="502"/>
      <c r="K82" s="502"/>
    </row>
    <row r="83" spans="2:11" ht="46.5" customHeight="1" x14ac:dyDescent="0.3">
      <c r="B83" s="515" t="s">
        <v>595</v>
      </c>
      <c r="C83" s="145"/>
      <c r="D83" s="145">
        <v>10000</v>
      </c>
      <c r="E83" s="145"/>
      <c r="F83" s="415">
        <f t="shared" si="3"/>
        <v>0</v>
      </c>
      <c r="I83" s="6"/>
      <c r="J83" s="502"/>
      <c r="K83" s="502"/>
    </row>
    <row r="84" spans="2:11" ht="24.95" customHeight="1" thickBot="1" x14ac:dyDescent="0.35">
      <c r="B84" s="220" t="s">
        <v>398</v>
      </c>
      <c r="C84" s="116">
        <f>SUM(C81:C83)</f>
        <v>129000</v>
      </c>
      <c r="D84" s="116">
        <f>SUM(D81:D83)</f>
        <v>141000</v>
      </c>
      <c r="E84" s="116">
        <f>SUM(E81:E83)</f>
        <v>129448</v>
      </c>
      <c r="F84" s="228">
        <f t="shared" si="3"/>
        <v>91.807092198581557</v>
      </c>
      <c r="I84" s="6"/>
      <c r="J84" s="502"/>
      <c r="K84" s="502"/>
    </row>
    <row r="85" spans="2:11" ht="24.95" customHeight="1" thickBot="1" x14ac:dyDescent="0.35">
      <c r="B85" s="220" t="s">
        <v>399</v>
      </c>
      <c r="C85" s="116">
        <f>C84</f>
        <v>129000</v>
      </c>
      <c r="D85" s="116">
        <f>D84</f>
        <v>141000</v>
      </c>
      <c r="E85" s="116">
        <f>E84</f>
        <v>129448</v>
      </c>
      <c r="F85" s="173">
        <f t="shared" si="3"/>
        <v>91.807092198581557</v>
      </c>
      <c r="I85" s="6"/>
      <c r="J85" s="502"/>
      <c r="K85" s="501"/>
    </row>
    <row r="86" spans="2:11" ht="24.95" customHeight="1" thickBot="1" x14ac:dyDescent="0.35">
      <c r="B86" s="220" t="s">
        <v>1402</v>
      </c>
      <c r="C86" s="227">
        <f>+C65+C79+C85+C58</f>
        <v>974418</v>
      </c>
      <c r="D86" s="227">
        <f>+D65+D79+D85+D58</f>
        <v>802162</v>
      </c>
      <c r="E86" s="227">
        <f>+E65+E79+E85+E58</f>
        <v>787903</v>
      </c>
      <c r="F86" s="173">
        <f t="shared" si="3"/>
        <v>98.22242888593577</v>
      </c>
      <c r="G86" s="6"/>
      <c r="I86" s="6"/>
      <c r="J86" s="501"/>
      <c r="K86" s="501"/>
    </row>
    <row r="87" spans="2:11" ht="24.95" customHeight="1" thickBot="1" x14ac:dyDescent="0.3">
      <c r="B87" s="220" t="s">
        <v>93</v>
      </c>
      <c r="C87" s="116">
        <f>+C55+C86</f>
        <v>2910472</v>
      </c>
      <c r="D87" s="116">
        <f>+D55+D86</f>
        <v>3297466</v>
      </c>
      <c r="E87" s="116">
        <f>+E55+E86</f>
        <v>3080234</v>
      </c>
      <c r="F87" s="173">
        <f t="shared" si="3"/>
        <v>93.41215345359133</v>
      </c>
      <c r="I87" s="6"/>
    </row>
    <row r="88" spans="2:11" ht="15" customHeight="1" x14ac:dyDescent="0.2">
      <c r="B88" s="17"/>
      <c r="C88" s="29"/>
      <c r="D88" s="29"/>
      <c r="E88" s="29"/>
      <c r="F88" s="1535"/>
      <c r="I88" s="6"/>
    </row>
    <row r="89" spans="2:11" ht="15" customHeight="1" x14ac:dyDescent="0.2">
      <c r="B89" s="17"/>
      <c r="C89" s="29"/>
      <c r="D89" s="29"/>
      <c r="E89" s="117"/>
      <c r="F89" s="1535"/>
      <c r="I89" s="6"/>
    </row>
    <row r="90" spans="2:11" ht="24.75" customHeight="1" thickBot="1" x14ac:dyDescent="0.35">
      <c r="B90" s="1536" t="s">
        <v>39</v>
      </c>
      <c r="C90" s="146"/>
      <c r="D90" s="146"/>
      <c r="E90" s="146"/>
      <c r="F90" s="146" t="s">
        <v>38</v>
      </c>
      <c r="I90" s="6"/>
    </row>
    <row r="91" spans="2:11" ht="24.75" customHeight="1" x14ac:dyDescent="0.25">
      <c r="B91" s="1552" t="s">
        <v>59</v>
      </c>
      <c r="C91" s="2665" t="s">
        <v>173</v>
      </c>
      <c r="D91" s="2665"/>
      <c r="E91" s="1553" t="s">
        <v>608</v>
      </c>
      <c r="F91" s="1553" t="s">
        <v>206</v>
      </c>
      <c r="I91" s="6"/>
    </row>
    <row r="92" spans="2:11" ht="24.75" customHeight="1" thickBot="1" x14ac:dyDescent="0.3">
      <c r="B92" s="1554"/>
      <c r="C92" s="1555" t="s">
        <v>406</v>
      </c>
      <c r="D92" s="1556" t="s">
        <v>204</v>
      </c>
      <c r="E92" s="1557" t="s">
        <v>205</v>
      </c>
      <c r="F92" s="1557" t="s">
        <v>207</v>
      </c>
      <c r="I92" s="6"/>
    </row>
    <row r="93" spans="2:11" ht="47.25" customHeight="1" x14ac:dyDescent="0.25">
      <c r="B93" s="529" t="s">
        <v>514</v>
      </c>
      <c r="C93" s="178"/>
      <c r="D93" s="115">
        <v>34776</v>
      </c>
      <c r="E93" s="115">
        <f>21424-E94</f>
        <v>19722</v>
      </c>
      <c r="F93" s="536">
        <f t="shared" ref="F93:F97" si="4">+E93/D93*100</f>
        <v>56.711525189786059</v>
      </c>
      <c r="I93" s="6"/>
    </row>
    <row r="94" spans="2:11" ht="40.5" customHeight="1" x14ac:dyDescent="0.25">
      <c r="B94" s="461" t="s">
        <v>535</v>
      </c>
      <c r="C94" s="178"/>
      <c r="D94" s="115">
        <v>1702</v>
      </c>
      <c r="E94" s="115">
        <v>1702</v>
      </c>
      <c r="F94" s="536">
        <f t="shared" si="4"/>
        <v>100</v>
      </c>
      <c r="I94" s="6"/>
    </row>
    <row r="95" spans="2:11" ht="24.95" customHeight="1" x14ac:dyDescent="0.25">
      <c r="B95" s="530" t="s">
        <v>515</v>
      </c>
      <c r="C95" s="178"/>
      <c r="D95" s="115">
        <v>3937</v>
      </c>
      <c r="E95" s="115">
        <v>3835</v>
      </c>
      <c r="F95" s="536">
        <f t="shared" si="4"/>
        <v>97.409194818389636</v>
      </c>
      <c r="I95" s="6"/>
    </row>
    <row r="96" spans="2:11" ht="24.95" customHeight="1" x14ac:dyDescent="0.25">
      <c r="B96" s="530" t="s">
        <v>516</v>
      </c>
      <c r="C96" s="178">
        <v>15000</v>
      </c>
      <c r="D96" s="115">
        <v>26151</v>
      </c>
      <c r="E96" s="115">
        <v>17473</v>
      </c>
      <c r="F96" s="536">
        <f t="shared" si="4"/>
        <v>66.815800543000265</v>
      </c>
      <c r="I96" s="6"/>
    </row>
    <row r="97" spans="2:9" ht="24.95" customHeight="1" x14ac:dyDescent="0.2">
      <c r="B97" s="530" t="s">
        <v>446</v>
      </c>
      <c r="C97" s="178"/>
      <c r="D97" s="115">
        <v>40</v>
      </c>
      <c r="E97" s="115">
        <v>40</v>
      </c>
      <c r="F97" s="536">
        <f t="shared" si="4"/>
        <v>100</v>
      </c>
      <c r="I97" s="6"/>
    </row>
    <row r="98" spans="2:9" ht="24.95" customHeight="1" x14ac:dyDescent="0.25">
      <c r="B98" s="530" t="s">
        <v>517</v>
      </c>
      <c r="C98" s="533"/>
      <c r="D98" s="535">
        <v>47435</v>
      </c>
      <c r="E98" s="535">
        <f>58666-E97-E99</f>
        <v>46455</v>
      </c>
      <c r="F98" s="536">
        <f>+E98/D98*100</f>
        <v>97.934014967850743</v>
      </c>
      <c r="I98" s="6"/>
    </row>
    <row r="99" spans="2:9" ht="24.95" customHeight="1" x14ac:dyDescent="0.25">
      <c r="B99" s="461" t="s">
        <v>536</v>
      </c>
      <c r="C99" s="533"/>
      <c r="D99" s="115">
        <v>12171</v>
      </c>
      <c r="E99" s="115">
        <v>12171</v>
      </c>
      <c r="F99" s="536">
        <f t="shared" ref="F99:F100" si="5">+E99/D99*100</f>
        <v>100</v>
      </c>
      <c r="I99" s="6"/>
    </row>
    <row r="100" spans="2:9" ht="24.95" customHeight="1" thickBot="1" x14ac:dyDescent="0.3">
      <c r="B100" s="531" t="s">
        <v>518</v>
      </c>
      <c r="C100" s="534"/>
      <c r="D100" s="535">
        <v>16266</v>
      </c>
      <c r="E100" s="535">
        <v>14259</v>
      </c>
      <c r="F100" s="536">
        <f t="shared" si="5"/>
        <v>87.661379564736265</v>
      </c>
      <c r="I100" s="6"/>
    </row>
    <row r="101" spans="2:9" ht="24.95" customHeight="1" thickBot="1" x14ac:dyDescent="0.3">
      <c r="B101" s="224" t="s">
        <v>9</v>
      </c>
      <c r="C101" s="128">
        <f>SUM(C93:C100)</f>
        <v>15000</v>
      </c>
      <c r="D101" s="152">
        <f>SUM(D93:D100)</f>
        <v>142478</v>
      </c>
      <c r="E101" s="152">
        <f>SUM(E93:E100)</f>
        <v>115657</v>
      </c>
      <c r="F101" s="128">
        <f>+E101/D101*100</f>
        <v>81.175339350636591</v>
      </c>
      <c r="I101" s="6"/>
    </row>
    <row r="102" spans="2:9" ht="15" customHeight="1" thickBot="1" x14ac:dyDescent="0.3">
      <c r="B102" s="229"/>
      <c r="C102" s="212"/>
      <c r="D102" s="212"/>
      <c r="E102" s="211"/>
      <c r="F102" s="1537"/>
      <c r="I102" s="6"/>
    </row>
    <row r="103" spans="2:9" ht="21.75" customHeight="1" thickBot="1" x14ac:dyDescent="0.3">
      <c r="B103" s="532" t="s">
        <v>10</v>
      </c>
      <c r="C103" s="317">
        <f>+C87+C101</f>
        <v>2925472</v>
      </c>
      <c r="D103" s="214">
        <f>+D87+D101</f>
        <v>3439944</v>
      </c>
      <c r="E103" s="214">
        <f>+E87+E101</f>
        <v>3195891</v>
      </c>
      <c r="F103" s="1538">
        <f>+E103/D103*100</f>
        <v>92.905320551729915</v>
      </c>
      <c r="I103" s="6"/>
    </row>
    <row r="104" spans="2:9" ht="15" customHeight="1" x14ac:dyDescent="0.2">
      <c r="E104" s="6"/>
    </row>
    <row r="105" spans="2:9" ht="15" customHeight="1" x14ac:dyDescent="0.2">
      <c r="E105" s="6"/>
      <c r="F105" s="6"/>
    </row>
    <row r="106" spans="2:9" ht="15" customHeight="1" x14ac:dyDescent="0.2">
      <c r="E106" s="6"/>
    </row>
    <row r="110" spans="2:9" ht="15" customHeight="1" x14ac:dyDescent="0.2">
      <c r="E110" s="6"/>
    </row>
  </sheetData>
  <mergeCells count="3">
    <mergeCell ref="C5:D5"/>
    <mergeCell ref="B2:F2"/>
    <mergeCell ref="C91:D91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>&amp;R&amp;"Arial,Félkövér"&amp;18 9. melléklet</oddHeader>
  </headerFooter>
  <rowBreaks count="1" manualBreakCount="1">
    <brk id="5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36</vt:i4>
      </vt:variant>
    </vt:vector>
  </HeadingPairs>
  <TitlesOfParts>
    <vt:vector size="67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 létszám ei zárás 2016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'3 bev.részl'!Nyomtatási_cím</vt:lpstr>
      <vt:lpstr>'7. létszám ei zárás 2016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 létszám ei zárás 2016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Sümeghy Veronika</cp:lastModifiedBy>
  <cp:lastPrinted>2017-05-02T07:28:15Z</cp:lastPrinted>
  <dcterms:created xsi:type="dcterms:W3CDTF">1998-01-10T07:52:54Z</dcterms:created>
  <dcterms:modified xsi:type="dcterms:W3CDTF">2017-05-08T06:26:08Z</dcterms:modified>
</cp:coreProperties>
</file>