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ndalf\Dokumentumok\Jogiosztaly\gats.andrea\dokumentumok\rendelet\2025\"/>
    </mc:Choice>
  </mc:AlternateContent>
  <xr:revisionPtr revIDLastSave="0" documentId="13_ncr:1_{3D9FDF11-4E90-448D-90E8-F309688FA2B7}" xr6:coauthVersionLast="47" xr6:coauthVersionMax="47" xr10:uidLastSave="{00000000-0000-0000-0000-000000000000}"/>
  <bookViews>
    <workbookView xWindow="-120" yWindow="-120" windowWidth="29040" windowHeight="15720" firstSheet="12" activeTab="19" xr2:uid="{00000000-000D-0000-FFFF-FFFF00000000}"/>
  </bookViews>
  <sheets>
    <sheet name="1 kiemelt ei. " sheetId="77" r:id="rId1"/>
    <sheet name="2 mérleg" sheetId="2" r:id="rId2"/>
    <sheet name="3 működési bevételek" sheetId="52" r:id="rId3"/>
    <sheet name="4 int bevétel" sheetId="137" r:id="rId4"/>
    <sheet name="5 normatíva" sheetId="139" r:id="rId5"/>
    <sheet name="6 int kiadás" sheetId="138" r:id="rId6"/>
    <sheet name="7 létszám" sheetId="140" r:id="rId7"/>
    <sheet name="8 oktatás" sheetId="6" r:id="rId8"/>
    <sheet name="9 kultúra" sheetId="7" r:id="rId9"/>
    <sheet name="10 szociális" sheetId="8" r:id="rId10"/>
    <sheet name="11 egészségügy" sheetId="9" r:id="rId11"/>
    <sheet name="12 gyermek és ifj.véd." sheetId="10" r:id="rId12"/>
    <sheet name="13 egyéb" sheetId="11" r:id="rId13"/>
    <sheet name="14 sport" sheetId="128" r:id="rId14"/>
    <sheet name="15 város.ü." sheetId="16" r:id="rId15"/>
    <sheet name="16 út-híd" sheetId="17" r:id="rId16"/>
    <sheet name="17 felhalm.bevétel " sheetId="54" r:id="rId17"/>
    <sheet name="18 felhalm.kiadás" sheetId="23" r:id="rId18"/>
    <sheet name="19 ei felh. terv bevétel" sheetId="63" r:id="rId19"/>
    <sheet name="19 ei. felh.terv kiadás" sheetId="64" r:id="rId20"/>
  </sheets>
  <externalReferences>
    <externalReference r:id="rId21"/>
    <externalReference r:id="rId22"/>
    <externalReference r:id="rId23"/>
    <externalReference r:id="rId24"/>
  </externalReferences>
  <definedNames>
    <definedName name="_xlnm._FilterDatabase" localSheetId="17" hidden="1">'18 felhalm.kiadás'!$A$4:$E$5</definedName>
    <definedName name="aaaaaaaaaaaaaaaaaaaaaaa" localSheetId="4">#REF!</definedName>
    <definedName name="aaaaaaaaaaaaaaaaaaaaaaa">#REF!</definedName>
    <definedName name="áfaössz16" localSheetId="4">#REF!</definedName>
    <definedName name="áfaössz16">#REF!</definedName>
    <definedName name="bk" localSheetId="4">#REF!</definedName>
    <definedName name="bk" localSheetId="6">#REF!</definedName>
    <definedName name="bk">#REF!</definedName>
    <definedName name="css" localSheetId="4">#REF!</definedName>
    <definedName name="css" localSheetId="6">#REF!</definedName>
    <definedName name="css">#REF!</definedName>
    <definedName name="css_k" localSheetId="4">[1]Családsegítés!$C$27:$C$86</definedName>
    <definedName name="css_k" localSheetId="6">[1]Családsegítés!$C$27:$C$86</definedName>
    <definedName name="css_k">#REF!</definedName>
    <definedName name="css_k_" localSheetId="4">#REF!</definedName>
    <definedName name="css_k_" localSheetId="6">#REF!</definedName>
    <definedName name="css_k_">#REF!</definedName>
    <definedName name="d" localSheetId="4">#REF!</definedName>
    <definedName name="d">#REF!</definedName>
    <definedName name="eredetiköltségvetés2017" localSheetId="4">#REF!</definedName>
    <definedName name="eredetiköltségvetés2017">#REF!</definedName>
    <definedName name="feljéc" localSheetId="4">#REF!</definedName>
    <definedName name="feljéc">#REF!</definedName>
    <definedName name="fff" localSheetId="4">#REF!</definedName>
    <definedName name="fff">#REF!</definedName>
    <definedName name="ffff" localSheetId="4">#REF!</definedName>
    <definedName name="ffff">#REF!</definedName>
    <definedName name="gyj" localSheetId="4">#REF!</definedName>
    <definedName name="gyj" localSheetId="6">#REF!</definedName>
    <definedName name="gyj">#REF!</definedName>
    <definedName name="gyj_k" localSheetId="4">[1]Gyermekjóléti!$C$27:$C$86</definedName>
    <definedName name="gyj_k" localSheetId="6">[1]Gyermekjóléti!$C$27:$C$86</definedName>
    <definedName name="gyj_k">#REF!</definedName>
    <definedName name="gyj_k_" localSheetId="4">#REF!</definedName>
    <definedName name="gyj_k_" localSheetId="6">#REF!</definedName>
    <definedName name="gyj_k_">#REF!</definedName>
    <definedName name="h" localSheetId="4">#REF!</definedName>
    <definedName name="h">#REF!</definedName>
    <definedName name="kjz" localSheetId="4">#REF!</definedName>
    <definedName name="kjz" localSheetId="6">#REF!</definedName>
    <definedName name="kjz">#REF!</definedName>
    <definedName name="kjz_k" localSheetId="4">[1]körjegyzőség!$C$9:$C$28</definedName>
    <definedName name="kjz_k" localSheetId="6">[1]körjegyzőség!$C$9:$C$28</definedName>
    <definedName name="kjz_k">#REF!</definedName>
    <definedName name="kjz_k_" localSheetId="4">#REF!</definedName>
    <definedName name="kjz_k_" localSheetId="6">#REF!</definedName>
    <definedName name="kjz_k_">#REF!</definedName>
    <definedName name="nev_b" localSheetId="4">#REF!</definedName>
    <definedName name="nev_b">#REF!</definedName>
    <definedName name="nev_c" localSheetId="4">#REF!</definedName>
    <definedName name="nev_c" localSheetId="6">#REF!</definedName>
    <definedName name="nev_c">#REF!</definedName>
    <definedName name="nev_g" localSheetId="4">#REF!</definedName>
    <definedName name="nev_g" localSheetId="6">#REF!</definedName>
    <definedName name="nev_g">#REF!</definedName>
    <definedName name="nev_k" localSheetId="4">#REF!</definedName>
    <definedName name="nev_k" localSheetId="6">#REF!</definedName>
    <definedName name="nev_k">#REF!</definedName>
    <definedName name="nev_k1" localSheetId="4">#REF!</definedName>
    <definedName name="nev_k1">#REF!</definedName>
    <definedName name="normatíva" localSheetId="4">[2]Családsegítés!$C$27:$C$86</definedName>
    <definedName name="normatíva" localSheetId="6">[2]Családsegítés!$C$27:$C$86</definedName>
    <definedName name="normatíva">#REF!</definedName>
    <definedName name="_xlnm.Print_Titles" localSheetId="12">'13 egyéb'!$3:$5</definedName>
    <definedName name="_xlnm.Print_Titles" localSheetId="2">'3 működési bevételek'!$4:$6</definedName>
    <definedName name="_xlnm.Print_Titles" localSheetId="4">'5 normatíva'!$3:$4</definedName>
    <definedName name="_xlnm.Print_Titles" localSheetId="6">'7 létszám'!$1:$7</definedName>
    <definedName name="_xlnm.Print_Area" localSheetId="0">'1 kiemelt ei. '!$A$1:$N$20</definedName>
    <definedName name="_xlnm.Print_Area" localSheetId="9">'10 szociális'!$A$1:$D$42</definedName>
    <definedName name="_xlnm.Print_Area" localSheetId="10">'11 egészségügy'!$A$1:$D$31</definedName>
    <definedName name="_xlnm.Print_Area" localSheetId="11">'12 gyermek és ifj.véd.'!$A$1:$D$23</definedName>
    <definedName name="_xlnm.Print_Area" localSheetId="12">'13 egyéb'!$A$1:$D$102</definedName>
    <definedName name="_xlnm.Print_Area" localSheetId="13">'14 sport'!$A$1:$D$27</definedName>
    <definedName name="_xlnm.Print_Area" localSheetId="14">'15 város.ü.'!$A$1:$D$30</definedName>
    <definedName name="_xlnm.Print_Area" localSheetId="15">'16 út-híd'!$A$1:$D$32</definedName>
    <definedName name="_xlnm.Print_Area" localSheetId="16">'17 felhalm.bevétel '!$A$1:$E$28</definedName>
    <definedName name="_xlnm.Print_Area" localSheetId="17">'18 felhalm.kiadás'!$A$1:$E$51</definedName>
    <definedName name="_xlnm.Print_Area" localSheetId="18">'19 ei felh. terv bevétel'!$A$1:$N$13</definedName>
    <definedName name="_xlnm.Print_Area" localSheetId="19">'19 ei. felh.terv kiadás'!$A$1:$N$27</definedName>
    <definedName name="_xlnm.Print_Area" localSheetId="1">'2 mérleg'!$A$1:$K$56</definedName>
    <definedName name="_xlnm.Print_Area" localSheetId="2">'3 működési bevételek'!$A$1:$H$104</definedName>
    <definedName name="_xlnm.Print_Area" localSheetId="3">'4 int bevétel'!$A$1:$AP$49</definedName>
    <definedName name="_xlnm.Print_Area" localSheetId="4">'5 normatíva'!$A$1:$D$85</definedName>
    <definedName name="_xlnm.Print_Area" localSheetId="5">'6 int kiadás'!$A$1:$AJ$49</definedName>
    <definedName name="_xlnm.Print_Area" localSheetId="6">'7 létszám'!$A$1:$P$48</definedName>
    <definedName name="_xlnm.Print_Area" localSheetId="7">'8 oktatás'!$A$1:$D$38</definedName>
    <definedName name="_xlnm.Print_Area" localSheetId="8">'9 kultúra'!$A$1:$D$77</definedName>
    <definedName name="polg" localSheetId="4">#REF!</definedName>
    <definedName name="polg">#REF!</definedName>
    <definedName name="polg.hiv." localSheetId="4">#REF!</definedName>
    <definedName name="polg.hiv.">#REF!</definedName>
    <definedName name="polg.hiv.2" localSheetId="4">#REF!</definedName>
    <definedName name="polg.hiv.2">#REF!</definedName>
    <definedName name="rmI" localSheetId="4">#REF!</definedName>
    <definedName name="rmI">#REF!</definedName>
    <definedName name="x" localSheetId="4">#REF!</definedName>
    <definedName name="x" localSheetId="6">#REF!</definedName>
    <definedName name="x">#REF!</definedName>
    <definedName name="Z_186732C5_520C_4E06_B066_B4F3F0A3E322_.wvu.PrintArea" localSheetId="9" hidden="1">'10 szociális'!$A$1:$A$31</definedName>
    <definedName name="Z_186732C5_520C_4E06_B066_B4F3F0A3E322_.wvu.PrintArea" localSheetId="10" hidden="1">'11 egészségügy'!$A$1:$A$19</definedName>
    <definedName name="Z_186732C5_520C_4E06_B066_B4F3F0A3E322_.wvu.PrintArea" localSheetId="11" hidden="1">'12 gyermek és ifj.véd.'!$A$1:$A$13</definedName>
    <definedName name="Z_186732C5_520C_4E06_B066_B4F3F0A3E322_.wvu.PrintArea" localSheetId="12" hidden="1">'13 egyéb'!$A$1:$A$90</definedName>
    <definedName name="Z_186732C5_520C_4E06_B066_B4F3F0A3E322_.wvu.PrintArea" localSheetId="13" hidden="1">'14 sport'!$A$1:$A$24</definedName>
    <definedName name="Z_186732C5_520C_4E06_B066_B4F3F0A3E322_.wvu.PrintArea" localSheetId="14" hidden="1">'15 város.ü.'!$A$1:$A$20</definedName>
    <definedName name="Z_186732C5_520C_4E06_B066_B4F3F0A3E322_.wvu.PrintArea" localSheetId="15" hidden="1">'16 út-híd'!$A$1:$A$28</definedName>
    <definedName name="Z_186732C5_520C_4E06_B066_B4F3F0A3E322_.wvu.PrintArea" localSheetId="16" hidden="1">'17 felhalm.bevétel '!$A$1:$B$29</definedName>
    <definedName name="Z_186732C5_520C_4E06_B066_B4F3F0A3E322_.wvu.PrintArea" localSheetId="17" hidden="1">'18 felhalm.kiadás'!$A$1:$B$51</definedName>
    <definedName name="Z_186732C5_520C_4E06_B066_B4F3F0A3E322_.wvu.PrintArea" localSheetId="1" hidden="1">'2 mérleg'!$A$2:$H$55</definedName>
    <definedName name="Z_186732C5_520C_4E06_B066_B4F3F0A3E322_.wvu.PrintArea" localSheetId="2" hidden="1">'3 működési bevételek'!$A$1:$E$103</definedName>
    <definedName name="Z_186732C5_520C_4E06_B066_B4F3F0A3E322_.wvu.PrintArea" localSheetId="7" hidden="1">'8 oktatás'!$A$1:$A$25</definedName>
    <definedName name="Z_186732C5_520C_4E06_B066_B4F3F0A3E322_.wvu.PrintArea" localSheetId="8" hidden="1">'9 kultúra'!$A$1:$A$59</definedName>
    <definedName name="Z_6D4B996F_8915_4E78_98C2_E7EAE9C4580C_.wvu.PrintArea" localSheetId="9" hidden="1">'10 szociális'!$A$1:$A$31</definedName>
    <definedName name="Z_6D4B996F_8915_4E78_98C2_E7EAE9C4580C_.wvu.PrintArea" localSheetId="10" hidden="1">'11 egészségügy'!$A$1:$A$19</definedName>
    <definedName name="Z_6D4B996F_8915_4E78_98C2_E7EAE9C4580C_.wvu.PrintArea" localSheetId="11" hidden="1">'12 gyermek és ifj.véd.'!$A$1:$A$13</definedName>
    <definedName name="Z_6D4B996F_8915_4E78_98C2_E7EAE9C4580C_.wvu.PrintArea" localSheetId="12" hidden="1">'13 egyéb'!$A$1:$A$90</definedName>
    <definedName name="Z_6D4B996F_8915_4E78_98C2_E7EAE9C4580C_.wvu.PrintArea" localSheetId="13" hidden="1">'14 sport'!$A$1:$A$24</definedName>
    <definedName name="Z_6D4B996F_8915_4E78_98C2_E7EAE9C4580C_.wvu.PrintArea" localSheetId="14" hidden="1">'15 város.ü.'!$A$1:$A$20</definedName>
    <definedName name="Z_6D4B996F_8915_4E78_98C2_E7EAE9C4580C_.wvu.PrintArea" localSheetId="15" hidden="1">'16 út-híd'!$A$1:$A$28</definedName>
    <definedName name="Z_6D4B996F_8915_4E78_98C2_E7EAE9C4580C_.wvu.PrintArea" localSheetId="16" hidden="1">'17 felhalm.bevétel '!$A$1:$B$29</definedName>
    <definedName name="Z_6D4B996F_8915_4E78_98C2_E7EAE9C4580C_.wvu.PrintArea" localSheetId="17" hidden="1">'18 felhalm.kiadás'!$A$1:$B$51</definedName>
    <definedName name="Z_6D4B996F_8915_4E78_98C2_E7EAE9C4580C_.wvu.PrintArea" localSheetId="1" hidden="1">'2 mérleg'!$A$2:$H$55</definedName>
    <definedName name="Z_6D4B996F_8915_4E78_98C2_E7EAE9C4580C_.wvu.PrintArea" localSheetId="2" hidden="1">'3 működési bevételek'!$A$1:$E$103</definedName>
    <definedName name="Z_6D4B996F_8915_4E78_98C2_E7EAE9C4580C_.wvu.PrintArea" localSheetId="7" hidden="1">'8 oktatás'!$A$1:$A$25</definedName>
    <definedName name="Z_6D4B996F_8915_4E78_98C2_E7EAE9C4580C_.wvu.PrintArea" localSheetId="8" hidden="1">'9 kultúra'!$A$1:$A$59</definedName>
    <definedName name="Z_F05CDCE5_D631_41F9_80C7_3F3E8464BF12_.wvu.PrintArea" localSheetId="6" hidden="1">'7 létszám'!$A$1:$N$48</definedName>
    <definedName name="Z_F05CDCE5_D631_41F9_80C7_3F3E8464BF12_.wvu.PrintTitles" localSheetId="6" hidden="1">'7 létszám'!$1:$7</definedName>
  </definedNames>
  <calcPr calcId="191029"/>
  <customWorkbookViews>
    <customWorkbookView name="Tóth László - Egyéni látvány" guid="{6D4B996F-8915-4E78-98C2-E7EAE9C4580C}" mergeInterval="0" personalView="1" maximized="1" windowWidth="1020" windowHeight="597" tabRatio="738" activeSheetId="8"/>
    <customWorkbookView name="Szakács Eszter - Egyéni látvány" guid="{186732C5-520C-4E06-B066-B4F3F0A3E322}" mergeInterval="0" personalView="1" maximized="1" windowWidth="1020" windowHeight="594" tabRatio="738" activeSheetId="2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6" i="140" l="1"/>
  <c r="L46" i="140"/>
  <c r="K46" i="140"/>
  <c r="H46" i="140"/>
  <c r="F46" i="140"/>
  <c r="E46" i="140"/>
  <c r="D46" i="140"/>
  <c r="P45" i="140"/>
  <c r="J45" i="140"/>
  <c r="I45" i="140"/>
  <c r="M45" i="140" s="1"/>
  <c r="C45" i="140"/>
  <c r="B45" i="140"/>
  <c r="G45" i="140" s="1"/>
  <c r="P44" i="140"/>
  <c r="J44" i="140"/>
  <c r="I44" i="140"/>
  <c r="M44" i="140" s="1"/>
  <c r="C44" i="140"/>
  <c r="B44" i="140"/>
  <c r="G44" i="140" s="1"/>
  <c r="P42" i="140"/>
  <c r="J42" i="140"/>
  <c r="I42" i="140"/>
  <c r="M42" i="140" s="1"/>
  <c r="C42" i="140"/>
  <c r="B42" i="140"/>
  <c r="G42" i="140" s="1"/>
  <c r="P40" i="140"/>
  <c r="J40" i="140"/>
  <c r="I40" i="140"/>
  <c r="M40" i="140" s="1"/>
  <c r="C40" i="140"/>
  <c r="B40" i="140"/>
  <c r="G40" i="140" s="1"/>
  <c r="P38" i="140"/>
  <c r="J38" i="140"/>
  <c r="I38" i="140"/>
  <c r="M38" i="140" s="1"/>
  <c r="C38" i="140"/>
  <c r="B38" i="140"/>
  <c r="G38" i="140" s="1"/>
  <c r="N36" i="140"/>
  <c r="N47" i="140" s="1"/>
  <c r="L36" i="140"/>
  <c r="L47" i="140" s="1"/>
  <c r="K36" i="140"/>
  <c r="K47" i="140" s="1"/>
  <c r="H36" i="140"/>
  <c r="F36" i="140"/>
  <c r="F47" i="140" s="1"/>
  <c r="E36" i="140"/>
  <c r="E47" i="140" s="1"/>
  <c r="D36" i="140"/>
  <c r="P35" i="140"/>
  <c r="J35" i="140"/>
  <c r="I35" i="140"/>
  <c r="M35" i="140" s="1"/>
  <c r="C35" i="140"/>
  <c r="B35" i="140"/>
  <c r="G35" i="140" s="1"/>
  <c r="O35" i="140" s="1"/>
  <c r="P34" i="140"/>
  <c r="J34" i="140"/>
  <c r="I34" i="140"/>
  <c r="M34" i="140" s="1"/>
  <c r="C34" i="140"/>
  <c r="B34" i="140"/>
  <c r="G34" i="140" s="1"/>
  <c r="O34" i="140" s="1"/>
  <c r="P33" i="140"/>
  <c r="J33" i="140"/>
  <c r="I33" i="140"/>
  <c r="M33" i="140" s="1"/>
  <c r="C33" i="140"/>
  <c r="B33" i="140"/>
  <c r="G33" i="140" s="1"/>
  <c r="O33" i="140" s="1"/>
  <c r="P32" i="140"/>
  <c r="J32" i="140"/>
  <c r="I32" i="140"/>
  <c r="C32" i="140"/>
  <c r="B32" i="140"/>
  <c r="K29" i="140"/>
  <c r="H29" i="140"/>
  <c r="P28" i="140"/>
  <c r="J28" i="140"/>
  <c r="I28" i="140"/>
  <c r="C28" i="140"/>
  <c r="B28" i="140"/>
  <c r="G28" i="140" s="1"/>
  <c r="N27" i="140"/>
  <c r="N29" i="140" s="1"/>
  <c r="L27" i="140"/>
  <c r="L29" i="140" s="1"/>
  <c r="K27" i="140"/>
  <c r="H27" i="140"/>
  <c r="F27" i="140"/>
  <c r="F29" i="140" s="1"/>
  <c r="E27" i="140"/>
  <c r="E29" i="140" s="1"/>
  <c r="D27" i="140"/>
  <c r="D29" i="140" s="1"/>
  <c r="P26" i="140"/>
  <c r="J26" i="140"/>
  <c r="I26" i="140"/>
  <c r="M26" i="140" s="1"/>
  <c r="C26" i="140"/>
  <c r="B26" i="140"/>
  <c r="G26" i="140" s="1"/>
  <c r="P25" i="140"/>
  <c r="J25" i="140"/>
  <c r="I25" i="140"/>
  <c r="M25" i="140" s="1"/>
  <c r="C25" i="140"/>
  <c r="B25" i="140"/>
  <c r="G25" i="140" s="1"/>
  <c r="P24" i="140"/>
  <c r="J24" i="140"/>
  <c r="I24" i="140"/>
  <c r="M24" i="140" s="1"/>
  <c r="C24" i="140"/>
  <c r="B24" i="140"/>
  <c r="G24" i="140" s="1"/>
  <c r="P23" i="140"/>
  <c r="J23" i="140"/>
  <c r="I23" i="140"/>
  <c r="M23" i="140" s="1"/>
  <c r="C23" i="140"/>
  <c r="B23" i="140"/>
  <c r="G23" i="140" s="1"/>
  <c r="P22" i="140"/>
  <c r="J22" i="140"/>
  <c r="I22" i="140"/>
  <c r="M22" i="140" s="1"/>
  <c r="C22" i="140"/>
  <c r="B22" i="140"/>
  <c r="G22" i="140" s="1"/>
  <c r="P21" i="140"/>
  <c r="J21" i="140"/>
  <c r="I21" i="140"/>
  <c r="M21" i="140" s="1"/>
  <c r="C21" i="140"/>
  <c r="B21" i="140"/>
  <c r="G21" i="140" s="1"/>
  <c r="P20" i="140"/>
  <c r="J20" i="140"/>
  <c r="I20" i="140"/>
  <c r="M20" i="140" s="1"/>
  <c r="C20" i="140"/>
  <c r="B20" i="140"/>
  <c r="G20" i="140" s="1"/>
  <c r="P19" i="140"/>
  <c r="J19" i="140"/>
  <c r="I19" i="140"/>
  <c r="M19" i="140" s="1"/>
  <c r="C19" i="140"/>
  <c r="B19" i="140"/>
  <c r="G19" i="140" s="1"/>
  <c r="P18" i="140"/>
  <c r="J18" i="140"/>
  <c r="I18" i="140"/>
  <c r="M18" i="140" s="1"/>
  <c r="C18" i="140"/>
  <c r="B18" i="140"/>
  <c r="G18" i="140" s="1"/>
  <c r="P17" i="140"/>
  <c r="J17" i="140"/>
  <c r="I17" i="140"/>
  <c r="M17" i="140" s="1"/>
  <c r="C17" i="140"/>
  <c r="B17" i="140"/>
  <c r="G17" i="140" s="1"/>
  <c r="P16" i="140"/>
  <c r="J16" i="140"/>
  <c r="I16" i="140"/>
  <c r="M16" i="140" s="1"/>
  <c r="C16" i="140"/>
  <c r="B16" i="140"/>
  <c r="G16" i="140" s="1"/>
  <c r="P15" i="140"/>
  <c r="J15" i="140"/>
  <c r="I15" i="140"/>
  <c r="M15" i="140" s="1"/>
  <c r="C15" i="140"/>
  <c r="B15" i="140"/>
  <c r="G15" i="140" s="1"/>
  <c r="P14" i="140"/>
  <c r="J14" i="140"/>
  <c r="I14" i="140"/>
  <c r="M14" i="140" s="1"/>
  <c r="C14" i="140"/>
  <c r="B14" i="140"/>
  <c r="G14" i="140" s="1"/>
  <c r="P13" i="140"/>
  <c r="J13" i="140"/>
  <c r="I13" i="140"/>
  <c r="M13" i="140" s="1"/>
  <c r="C13" i="140"/>
  <c r="B13" i="140"/>
  <c r="G13" i="140" s="1"/>
  <c r="P12" i="140"/>
  <c r="J12" i="140"/>
  <c r="I12" i="140"/>
  <c r="M12" i="140" s="1"/>
  <c r="C12" i="140"/>
  <c r="B12" i="140"/>
  <c r="G12" i="140" s="1"/>
  <c r="P11" i="140"/>
  <c r="J11" i="140"/>
  <c r="I11" i="140"/>
  <c r="M11" i="140" s="1"/>
  <c r="C11" i="140"/>
  <c r="B11" i="140"/>
  <c r="G11" i="140" s="1"/>
  <c r="P10" i="140"/>
  <c r="J10" i="140"/>
  <c r="I10" i="140"/>
  <c r="M10" i="140" s="1"/>
  <c r="C10" i="140"/>
  <c r="B10" i="140"/>
  <c r="G10" i="140" s="1"/>
  <c r="P9" i="140"/>
  <c r="M9" i="140"/>
  <c r="J9" i="140"/>
  <c r="I9" i="140"/>
  <c r="C9" i="140"/>
  <c r="B9" i="140"/>
  <c r="D82" i="139"/>
  <c r="C81" i="139"/>
  <c r="B81" i="139"/>
  <c r="D80" i="139"/>
  <c r="D79" i="139"/>
  <c r="D78" i="139"/>
  <c r="D77" i="139"/>
  <c r="D81" i="139" s="1"/>
  <c r="C76" i="139"/>
  <c r="D76" i="139" s="1"/>
  <c r="D75" i="139"/>
  <c r="C72" i="139"/>
  <c r="B72" i="139"/>
  <c r="D71" i="139"/>
  <c r="D70" i="139"/>
  <c r="D72" i="139" s="1"/>
  <c r="C68" i="139"/>
  <c r="B68" i="139"/>
  <c r="D67" i="139"/>
  <c r="D66" i="139"/>
  <c r="D65" i="139"/>
  <c r="C61" i="139"/>
  <c r="B61" i="139"/>
  <c r="D61" i="139" s="1"/>
  <c r="D60" i="139"/>
  <c r="D59" i="139"/>
  <c r="D58" i="139"/>
  <c r="C57" i="139"/>
  <c r="B57" i="139"/>
  <c r="D56" i="139"/>
  <c r="D55" i="139"/>
  <c r="D54" i="139"/>
  <c r="C51" i="139"/>
  <c r="B51" i="139"/>
  <c r="D51" i="139" s="1"/>
  <c r="D50" i="139"/>
  <c r="D49" i="139"/>
  <c r="D48" i="139"/>
  <c r="D47" i="139"/>
  <c r="D46" i="139"/>
  <c r="D45" i="139"/>
  <c r="D44" i="139"/>
  <c r="D43" i="139"/>
  <c r="C40" i="139"/>
  <c r="B40" i="139"/>
  <c r="D40" i="139" s="1"/>
  <c r="D39" i="139"/>
  <c r="D38" i="139"/>
  <c r="D37" i="139"/>
  <c r="D34" i="139"/>
  <c r="D33" i="139"/>
  <c r="D31" i="139"/>
  <c r="D30" i="139"/>
  <c r="D29" i="139"/>
  <c r="D28" i="139"/>
  <c r="D26" i="139"/>
  <c r="D25" i="139"/>
  <c r="D24" i="139"/>
  <c r="D23" i="139"/>
  <c r="D19" i="139"/>
  <c r="D17" i="139"/>
  <c r="C14" i="139"/>
  <c r="B14" i="139"/>
  <c r="D13" i="139"/>
  <c r="D12" i="139"/>
  <c r="D11" i="139"/>
  <c r="D10" i="139"/>
  <c r="D9" i="139"/>
  <c r="D8" i="139"/>
  <c r="D7" i="139"/>
  <c r="D6" i="139"/>
  <c r="H47" i="140" l="1"/>
  <c r="H48" i="140" s="1"/>
  <c r="F48" i="140"/>
  <c r="D47" i="140"/>
  <c r="D48" i="140" s="1"/>
  <c r="J36" i="140"/>
  <c r="J27" i="140"/>
  <c r="J29" i="140" s="1"/>
  <c r="P36" i="140"/>
  <c r="O38" i="140"/>
  <c r="N48" i="140"/>
  <c r="O11" i="140"/>
  <c r="O19" i="140"/>
  <c r="O10" i="140"/>
  <c r="O18" i="140"/>
  <c r="L48" i="140"/>
  <c r="C46" i="140"/>
  <c r="C47" i="140" s="1"/>
  <c r="C48" i="140" s="1"/>
  <c r="I29" i="140"/>
  <c r="B36" i="140"/>
  <c r="M46" i="140"/>
  <c r="M27" i="140"/>
  <c r="O15" i="140"/>
  <c r="O14" i="140"/>
  <c r="O22" i="140"/>
  <c r="O26" i="140"/>
  <c r="B27" i="140"/>
  <c r="B29" i="140" s="1"/>
  <c r="O13" i="140"/>
  <c r="O17" i="140"/>
  <c r="O21" i="140"/>
  <c r="O25" i="140"/>
  <c r="C36" i="140"/>
  <c r="O42" i="140"/>
  <c r="J46" i="140"/>
  <c r="J47" i="140" s="1"/>
  <c r="P27" i="140"/>
  <c r="P29" i="140" s="1"/>
  <c r="C27" i="140"/>
  <c r="C29" i="140" s="1"/>
  <c r="G32" i="140"/>
  <c r="P46" i="140"/>
  <c r="O23" i="140"/>
  <c r="K48" i="140"/>
  <c r="I27" i="140"/>
  <c r="O12" i="140"/>
  <c r="O16" i="140"/>
  <c r="O20" i="140"/>
  <c r="O24" i="140"/>
  <c r="I36" i="140"/>
  <c r="O45" i="140"/>
  <c r="G46" i="140"/>
  <c r="O44" i="140"/>
  <c r="O46" i="140" s="1"/>
  <c r="E48" i="140"/>
  <c r="O40" i="140"/>
  <c r="M32" i="140"/>
  <c r="M36" i="140" s="1"/>
  <c r="M47" i="140" s="1"/>
  <c r="G36" i="140"/>
  <c r="M28" i="140"/>
  <c r="M29" i="140" s="1"/>
  <c r="I46" i="140"/>
  <c r="B46" i="140"/>
  <c r="B47" i="140" s="1"/>
  <c r="G9" i="140"/>
  <c r="D83" i="139"/>
  <c r="D84" i="139" s="1"/>
  <c r="B62" i="139"/>
  <c r="D14" i="139"/>
  <c r="D68" i="139"/>
  <c r="D62" i="139"/>
  <c r="D73" i="139" s="1"/>
  <c r="D85" i="139" s="1"/>
  <c r="C62" i="139"/>
  <c r="C73" i="139" s="1"/>
  <c r="B83" i="139"/>
  <c r="B84" i="139" s="1"/>
  <c r="C83" i="139"/>
  <c r="C84" i="139" s="1"/>
  <c r="D57" i="139"/>
  <c r="B73" i="139"/>
  <c r="M48" i="140" l="1"/>
  <c r="I47" i="140"/>
  <c r="I48" i="140" s="1"/>
  <c r="P47" i="140"/>
  <c r="P48" i="140" s="1"/>
  <c r="O32" i="140"/>
  <c r="O36" i="140" s="1"/>
  <c r="O47" i="140" s="1"/>
  <c r="J48" i="140"/>
  <c r="B48" i="140"/>
  <c r="G47" i="140"/>
  <c r="O28" i="140"/>
  <c r="O9" i="140"/>
  <c r="O27" i="140" s="1"/>
  <c r="G27" i="140"/>
  <c r="G29" i="140" s="1"/>
  <c r="B85" i="139"/>
  <c r="C85" i="139"/>
  <c r="G48" i="140" l="1"/>
  <c r="O29" i="140"/>
  <c r="O48" i="140" s="1"/>
  <c r="AC47" i="138"/>
  <c r="P47" i="138"/>
  <c r="M47" i="138"/>
  <c r="AB46" i="138"/>
  <c r="AD46" i="138" s="1"/>
  <c r="Z46" i="138"/>
  <c r="Y46" i="138"/>
  <c r="W46" i="138"/>
  <c r="V46" i="138"/>
  <c r="O46" i="138"/>
  <c r="Q46" i="138" s="1"/>
  <c r="L46" i="138"/>
  <c r="N46" i="138" s="1"/>
  <c r="I46" i="138"/>
  <c r="H46" i="138"/>
  <c r="F46" i="138"/>
  <c r="E46" i="138"/>
  <c r="C46" i="138"/>
  <c r="S46" i="138" s="1"/>
  <c r="B46" i="138"/>
  <c r="AB45" i="138"/>
  <c r="AD45" i="138" s="1"/>
  <c r="Z45" i="138"/>
  <c r="Y45" i="138"/>
  <c r="W45" i="138"/>
  <c r="AF45" i="138" s="1"/>
  <c r="V45" i="138"/>
  <c r="O45" i="138"/>
  <c r="L45" i="138"/>
  <c r="N45" i="138" s="1"/>
  <c r="I45" i="138"/>
  <c r="H45" i="138"/>
  <c r="F45" i="138"/>
  <c r="E45" i="138"/>
  <c r="C45" i="138"/>
  <c r="B45" i="138"/>
  <c r="D45" i="138" s="1"/>
  <c r="AB43" i="138"/>
  <c r="AD43" i="138" s="1"/>
  <c r="Z43" i="138"/>
  <c r="Y43" i="138"/>
  <c r="W43" i="138"/>
  <c r="V43" i="138"/>
  <c r="X43" i="138" s="1"/>
  <c r="O43" i="138"/>
  <c r="Q43" i="138" s="1"/>
  <c r="L43" i="138"/>
  <c r="N43" i="138" s="1"/>
  <c r="I43" i="138"/>
  <c r="H43" i="138"/>
  <c r="F43" i="138"/>
  <c r="E43" i="138"/>
  <c r="C43" i="138"/>
  <c r="B43" i="138"/>
  <c r="AB41" i="138"/>
  <c r="AD41" i="138" s="1"/>
  <c r="Z41" i="138"/>
  <c r="Y41" i="138"/>
  <c r="AA41" i="138" s="1"/>
  <c r="W41" i="138"/>
  <c r="X41" i="138" s="1"/>
  <c r="AG41" i="138" s="1"/>
  <c r="V41" i="138"/>
  <c r="O41" i="138"/>
  <c r="Q41" i="138" s="1"/>
  <c r="L41" i="138"/>
  <c r="N41" i="138" s="1"/>
  <c r="I41" i="138"/>
  <c r="H41" i="138"/>
  <c r="F41" i="138"/>
  <c r="S41" i="138" s="1"/>
  <c r="E41" i="138"/>
  <c r="C41" i="138"/>
  <c r="B41" i="138"/>
  <c r="AD39" i="138"/>
  <c r="AB39" i="138"/>
  <c r="Z39" i="138"/>
  <c r="Y39" i="138"/>
  <c r="W39" i="138"/>
  <c r="AF39" i="138" s="1"/>
  <c r="V39" i="138"/>
  <c r="O39" i="138"/>
  <c r="Q39" i="138" s="1"/>
  <c r="L39" i="138"/>
  <c r="N39" i="138" s="1"/>
  <c r="I39" i="138"/>
  <c r="H39" i="138"/>
  <c r="J39" i="138" s="1"/>
  <c r="F39" i="138"/>
  <c r="E39" i="138"/>
  <c r="G39" i="138" s="1"/>
  <c r="C39" i="138"/>
  <c r="B39" i="138"/>
  <c r="AC37" i="138"/>
  <c r="P37" i="138"/>
  <c r="P48" i="138" s="1"/>
  <c r="M37" i="138"/>
  <c r="AB36" i="138"/>
  <c r="AD36" i="138" s="1"/>
  <c r="Z36" i="138"/>
  <c r="Y36" i="138"/>
  <c r="AA36" i="138" s="1"/>
  <c r="W36" i="138"/>
  <c r="V36" i="138"/>
  <c r="O36" i="138"/>
  <c r="L36" i="138"/>
  <c r="N36" i="138" s="1"/>
  <c r="I36" i="138"/>
  <c r="H36" i="138"/>
  <c r="F36" i="138"/>
  <c r="S36" i="138" s="1"/>
  <c r="E36" i="138"/>
  <c r="C36" i="138"/>
  <c r="B36" i="138"/>
  <c r="D36" i="138" s="1"/>
  <c r="AB35" i="138"/>
  <c r="AD35" i="138" s="1"/>
  <c r="Z35" i="138"/>
  <c r="Y35" i="138"/>
  <c r="W35" i="138"/>
  <c r="AF35" i="138" s="1"/>
  <c r="V35" i="138"/>
  <c r="O35" i="138"/>
  <c r="Q35" i="138" s="1"/>
  <c r="L35" i="138"/>
  <c r="N35" i="138" s="1"/>
  <c r="I35" i="138"/>
  <c r="H35" i="138"/>
  <c r="F35" i="138"/>
  <c r="E35" i="138"/>
  <c r="C35" i="138"/>
  <c r="B35" i="138"/>
  <c r="AB34" i="138"/>
  <c r="AD34" i="138" s="1"/>
  <c r="Z34" i="138"/>
  <c r="Y34" i="138"/>
  <c r="AA34" i="138" s="1"/>
  <c r="W34" i="138"/>
  <c r="V34" i="138"/>
  <c r="O34" i="138"/>
  <c r="Q34" i="138" s="1"/>
  <c r="L34" i="138"/>
  <c r="N34" i="138" s="1"/>
  <c r="I34" i="138"/>
  <c r="H34" i="138"/>
  <c r="J34" i="138" s="1"/>
  <c r="F34" i="138"/>
  <c r="E34" i="138"/>
  <c r="G34" i="138" s="1"/>
  <c r="C34" i="138"/>
  <c r="B34" i="138"/>
  <c r="D34" i="138" s="1"/>
  <c r="AB33" i="138"/>
  <c r="Z33" i="138"/>
  <c r="AA33" i="138" s="1"/>
  <c r="Y33" i="138"/>
  <c r="W33" i="138"/>
  <c r="V33" i="138"/>
  <c r="O33" i="138"/>
  <c r="Q33" i="138" s="1"/>
  <c r="L33" i="138"/>
  <c r="I33" i="138"/>
  <c r="H33" i="138"/>
  <c r="F33" i="138"/>
  <c r="E33" i="138"/>
  <c r="C33" i="138"/>
  <c r="C37" i="138" s="1"/>
  <c r="B33" i="138"/>
  <c r="AB29" i="138"/>
  <c r="AD29" i="138" s="1"/>
  <c r="Z29" i="138"/>
  <c r="Y29" i="138"/>
  <c r="AA29" i="138" s="1"/>
  <c r="W29" i="138"/>
  <c r="V29" i="138"/>
  <c r="O29" i="138"/>
  <c r="Q29" i="138" s="1"/>
  <c r="L29" i="138"/>
  <c r="N29" i="138" s="1"/>
  <c r="I29" i="138"/>
  <c r="H29" i="138"/>
  <c r="F29" i="138"/>
  <c r="E29" i="138"/>
  <c r="C29" i="138"/>
  <c r="B29" i="138"/>
  <c r="AC28" i="138"/>
  <c r="AC30" i="138" s="1"/>
  <c r="P28" i="138"/>
  <c r="P30" i="138" s="1"/>
  <c r="M28" i="138"/>
  <c r="M30" i="138" s="1"/>
  <c r="AB27" i="138"/>
  <c r="Z27" i="138"/>
  <c r="Y27" i="138"/>
  <c r="W27" i="138"/>
  <c r="V27" i="138"/>
  <c r="O27" i="138"/>
  <c r="Q27" i="138" s="1"/>
  <c r="L27" i="138"/>
  <c r="N27" i="138" s="1"/>
  <c r="I27" i="138"/>
  <c r="H27" i="138"/>
  <c r="F27" i="138"/>
  <c r="E27" i="138"/>
  <c r="C27" i="138"/>
  <c r="B27" i="138"/>
  <c r="AB26" i="138"/>
  <c r="AD26" i="138" s="1"/>
  <c r="Z26" i="138"/>
  <c r="Y26" i="138"/>
  <c r="AA26" i="138" s="1"/>
  <c r="W26" i="138"/>
  <c r="V26" i="138"/>
  <c r="O26" i="138"/>
  <c r="Q26" i="138" s="1"/>
  <c r="L26" i="138"/>
  <c r="N26" i="138" s="1"/>
  <c r="I26" i="138"/>
  <c r="H26" i="138"/>
  <c r="F26" i="138"/>
  <c r="E26" i="138"/>
  <c r="G26" i="138" s="1"/>
  <c r="C26" i="138"/>
  <c r="B26" i="138"/>
  <c r="AB25" i="138"/>
  <c r="AD25" i="138" s="1"/>
  <c r="Z25" i="138"/>
  <c r="Y25" i="138"/>
  <c r="W25" i="138"/>
  <c r="V25" i="138"/>
  <c r="O25" i="138"/>
  <c r="Q25" i="138" s="1"/>
  <c r="L25" i="138"/>
  <c r="N25" i="138" s="1"/>
  <c r="I25" i="138"/>
  <c r="H25" i="138"/>
  <c r="J25" i="138" s="1"/>
  <c r="F25" i="138"/>
  <c r="E25" i="138"/>
  <c r="C25" i="138"/>
  <c r="B25" i="138"/>
  <c r="AB24" i="138"/>
  <c r="AD24" i="138" s="1"/>
  <c r="Z24" i="138"/>
  <c r="Y24" i="138"/>
  <c r="W24" i="138"/>
  <c r="AF24" i="138" s="1"/>
  <c r="V24" i="138"/>
  <c r="O24" i="138"/>
  <c r="Q24" i="138" s="1"/>
  <c r="L24" i="138"/>
  <c r="N24" i="138" s="1"/>
  <c r="I24" i="138"/>
  <c r="H24" i="138"/>
  <c r="J24" i="138" s="1"/>
  <c r="F24" i="138"/>
  <c r="E24" i="138"/>
  <c r="G24" i="138" s="1"/>
  <c r="C24" i="138"/>
  <c r="B24" i="138"/>
  <c r="AB23" i="138"/>
  <c r="AD23" i="138" s="1"/>
  <c r="Z23" i="138"/>
  <c r="Y23" i="138"/>
  <c r="W23" i="138"/>
  <c r="AF23" i="138" s="1"/>
  <c r="V23" i="138"/>
  <c r="AE23" i="138" s="1"/>
  <c r="O23" i="138"/>
  <c r="Q23" i="138" s="1"/>
  <c r="L23" i="138"/>
  <c r="N23" i="138" s="1"/>
  <c r="I23" i="138"/>
  <c r="H23" i="138"/>
  <c r="F23" i="138"/>
  <c r="E23" i="138"/>
  <c r="D23" i="138"/>
  <c r="C23" i="138"/>
  <c r="B23" i="138"/>
  <c r="AB22" i="138"/>
  <c r="AD22" i="138" s="1"/>
  <c r="Z22" i="138"/>
  <c r="Y22" i="138"/>
  <c r="W22" i="138"/>
  <c r="V22" i="138"/>
  <c r="O22" i="138"/>
  <c r="Q22" i="138" s="1"/>
  <c r="L22" i="138"/>
  <c r="N22" i="138" s="1"/>
  <c r="I22" i="138"/>
  <c r="H22" i="138"/>
  <c r="J22" i="138" s="1"/>
  <c r="F22" i="138"/>
  <c r="E22" i="138"/>
  <c r="C22" i="138"/>
  <c r="B22" i="138"/>
  <c r="AB21" i="138"/>
  <c r="AD21" i="138" s="1"/>
  <c r="Z21" i="138"/>
  <c r="Y21" i="138"/>
  <c r="W21" i="138"/>
  <c r="AF21" i="138" s="1"/>
  <c r="V21" i="138"/>
  <c r="O21" i="138"/>
  <c r="Q21" i="138" s="1"/>
  <c r="L21" i="138"/>
  <c r="N21" i="138" s="1"/>
  <c r="I21" i="138"/>
  <c r="H21" i="138"/>
  <c r="J21" i="138" s="1"/>
  <c r="F21" i="138"/>
  <c r="E21" i="138"/>
  <c r="C21" i="138"/>
  <c r="B21" i="138"/>
  <c r="D21" i="138" s="1"/>
  <c r="AB20" i="138"/>
  <c r="AD20" i="138" s="1"/>
  <c r="Z20" i="138"/>
  <c r="Y20" i="138"/>
  <c r="W20" i="138"/>
  <c r="V20" i="138"/>
  <c r="O20" i="138"/>
  <c r="Q20" i="138" s="1"/>
  <c r="L20" i="138"/>
  <c r="N20" i="138" s="1"/>
  <c r="I20" i="138"/>
  <c r="H20" i="138"/>
  <c r="J20" i="138" s="1"/>
  <c r="F20" i="138"/>
  <c r="E20" i="138"/>
  <c r="G20" i="138" s="1"/>
  <c r="C20" i="138"/>
  <c r="S20" i="138" s="1"/>
  <c r="B20" i="138"/>
  <c r="D20" i="138" s="1"/>
  <c r="AB19" i="138"/>
  <c r="Z19" i="138"/>
  <c r="Y19" i="138"/>
  <c r="W19" i="138"/>
  <c r="AF19" i="138" s="1"/>
  <c r="V19" i="138"/>
  <c r="S19" i="138"/>
  <c r="AI19" i="138" s="1"/>
  <c r="O19" i="138"/>
  <c r="Q19" i="138" s="1"/>
  <c r="L19" i="138"/>
  <c r="N19" i="138" s="1"/>
  <c r="I19" i="138"/>
  <c r="H19" i="138"/>
  <c r="J19" i="138" s="1"/>
  <c r="F19" i="138"/>
  <c r="E19" i="138"/>
  <c r="G19" i="138" s="1"/>
  <c r="C19" i="138"/>
  <c r="B19" i="138"/>
  <c r="AB18" i="138"/>
  <c r="AD18" i="138" s="1"/>
  <c r="Z18" i="138"/>
  <c r="Y18" i="138"/>
  <c r="W18" i="138"/>
  <c r="AF18" i="138" s="1"/>
  <c r="V18" i="138"/>
  <c r="O18" i="138"/>
  <c r="Q18" i="138" s="1"/>
  <c r="L18" i="138"/>
  <c r="N18" i="138" s="1"/>
  <c r="I18" i="138"/>
  <c r="H18" i="138"/>
  <c r="F18" i="138"/>
  <c r="E18" i="138"/>
  <c r="C18" i="138"/>
  <c r="B18" i="138"/>
  <c r="AB17" i="138"/>
  <c r="AD17" i="138" s="1"/>
  <c r="Z17" i="138"/>
  <c r="AF17" i="138" s="1"/>
  <c r="Y17" i="138"/>
  <c r="W17" i="138"/>
  <c r="V17" i="138"/>
  <c r="O17" i="138"/>
  <c r="Q17" i="138" s="1"/>
  <c r="L17" i="138"/>
  <c r="N17" i="138" s="1"/>
  <c r="I17" i="138"/>
  <c r="H17" i="138"/>
  <c r="F17" i="138"/>
  <c r="E17" i="138"/>
  <c r="C17" i="138"/>
  <c r="B17" i="138"/>
  <c r="AB16" i="138"/>
  <c r="AD16" i="138" s="1"/>
  <c r="Z16" i="138"/>
  <c r="Y16" i="138"/>
  <c r="AA16" i="138" s="1"/>
  <c r="W16" i="138"/>
  <c r="AF16" i="138" s="1"/>
  <c r="V16" i="138"/>
  <c r="X16" i="138" s="1"/>
  <c r="AG16" i="138" s="1"/>
  <c r="O16" i="138"/>
  <c r="Q16" i="138" s="1"/>
  <c r="L16" i="138"/>
  <c r="N16" i="138" s="1"/>
  <c r="I16" i="138"/>
  <c r="H16" i="138"/>
  <c r="J16" i="138" s="1"/>
  <c r="F16" i="138"/>
  <c r="E16" i="138"/>
  <c r="G16" i="138" s="1"/>
  <c r="C16" i="138"/>
  <c r="S16" i="138" s="1"/>
  <c r="B16" i="138"/>
  <c r="AB15" i="138"/>
  <c r="AD15" i="138" s="1"/>
  <c r="Z15" i="138"/>
  <c r="Y15" i="138"/>
  <c r="W15" i="138"/>
  <c r="V15" i="138"/>
  <c r="X15" i="138" s="1"/>
  <c r="O15" i="138"/>
  <c r="Q15" i="138" s="1"/>
  <c r="L15" i="138"/>
  <c r="N15" i="138" s="1"/>
  <c r="I15" i="138"/>
  <c r="H15" i="138"/>
  <c r="J15" i="138" s="1"/>
  <c r="F15" i="138"/>
  <c r="E15" i="138"/>
  <c r="G15" i="138" s="1"/>
  <c r="C15" i="138"/>
  <c r="B15" i="138"/>
  <c r="AB14" i="138"/>
  <c r="AD14" i="138" s="1"/>
  <c r="Z14" i="138"/>
  <c r="AF14" i="138" s="1"/>
  <c r="Y14" i="138"/>
  <c r="W14" i="138"/>
  <c r="V14" i="138"/>
  <c r="O14" i="138"/>
  <c r="Q14" i="138" s="1"/>
  <c r="L14" i="138"/>
  <c r="N14" i="138" s="1"/>
  <c r="I14" i="138"/>
  <c r="J14" i="138" s="1"/>
  <c r="H14" i="138"/>
  <c r="F14" i="138"/>
  <c r="E14" i="138"/>
  <c r="C14" i="138"/>
  <c r="B14" i="138"/>
  <c r="AB13" i="138"/>
  <c r="AD13" i="138" s="1"/>
  <c r="Z13" i="138"/>
  <c r="Y13" i="138"/>
  <c r="W13" i="138"/>
  <c r="V13" i="138"/>
  <c r="X13" i="138" s="1"/>
  <c r="O13" i="138"/>
  <c r="Q13" i="138" s="1"/>
  <c r="L13" i="138"/>
  <c r="N13" i="138" s="1"/>
  <c r="I13" i="138"/>
  <c r="H13" i="138"/>
  <c r="F13" i="138"/>
  <c r="E13" i="138"/>
  <c r="C13" i="138"/>
  <c r="B13" i="138"/>
  <c r="D13" i="138" s="1"/>
  <c r="AB12" i="138"/>
  <c r="AD12" i="138" s="1"/>
  <c r="Z12" i="138"/>
  <c r="Y12" i="138"/>
  <c r="W12" i="138"/>
  <c r="V12" i="138"/>
  <c r="O12" i="138"/>
  <c r="Q12" i="138" s="1"/>
  <c r="L12" i="138"/>
  <c r="N12" i="138" s="1"/>
  <c r="I12" i="138"/>
  <c r="H12" i="138"/>
  <c r="F12" i="138"/>
  <c r="E12" i="138"/>
  <c r="C12" i="138"/>
  <c r="B12" i="138"/>
  <c r="AB11" i="138"/>
  <c r="AD11" i="138" s="1"/>
  <c r="Z11" i="138"/>
  <c r="Y11" i="138"/>
  <c r="W11" i="138"/>
  <c r="V11" i="138"/>
  <c r="O11" i="138"/>
  <c r="Q11" i="138" s="1"/>
  <c r="L11" i="138"/>
  <c r="N11" i="138" s="1"/>
  <c r="I11" i="138"/>
  <c r="H11" i="138"/>
  <c r="F11" i="138"/>
  <c r="E11" i="138"/>
  <c r="C11" i="138"/>
  <c r="B11" i="138"/>
  <c r="D11" i="138" s="1"/>
  <c r="AB10" i="138"/>
  <c r="Z10" i="138"/>
  <c r="Y10" i="138"/>
  <c r="W10" i="138"/>
  <c r="V10" i="138"/>
  <c r="O10" i="138"/>
  <c r="Q10" i="138" s="1"/>
  <c r="L10" i="138"/>
  <c r="I10" i="138"/>
  <c r="H10" i="138"/>
  <c r="J10" i="138" s="1"/>
  <c r="F10" i="138"/>
  <c r="E10" i="138"/>
  <c r="C10" i="138"/>
  <c r="B10" i="138"/>
  <c r="Y47" i="137"/>
  <c r="V47" i="137"/>
  <c r="S47" i="137"/>
  <c r="L47" i="137"/>
  <c r="I47" i="137"/>
  <c r="F47" i="137"/>
  <c r="C47" i="137"/>
  <c r="AL46" i="137"/>
  <c r="AK46" i="137"/>
  <c r="AM46" i="137" s="1"/>
  <c r="AI46" i="137"/>
  <c r="AH46" i="137"/>
  <c r="AJ46" i="137" s="1"/>
  <c r="AJ47" i="137" s="1"/>
  <c r="AB46" i="137"/>
  <c r="X46" i="137"/>
  <c r="Z46" i="137" s="1"/>
  <c r="U46" i="137"/>
  <c r="W46" i="137" s="1"/>
  <c r="R46" i="137"/>
  <c r="T46" i="137" s="1"/>
  <c r="O46" i="137"/>
  <c r="K46" i="137"/>
  <c r="M46" i="137" s="1"/>
  <c r="H46" i="137"/>
  <c r="J46" i="137" s="1"/>
  <c r="E46" i="137"/>
  <c r="G46" i="137" s="1"/>
  <c r="P46" i="137" s="1"/>
  <c r="B46" i="137"/>
  <c r="D46" i="137" s="1"/>
  <c r="AL45" i="137"/>
  <c r="AK45" i="137"/>
  <c r="AI45" i="137"/>
  <c r="AH45" i="137"/>
  <c r="AJ45" i="137" s="1"/>
  <c r="AB45" i="137"/>
  <c r="X45" i="137"/>
  <c r="Z45" i="137" s="1"/>
  <c r="U45" i="137"/>
  <c r="W45" i="137" s="1"/>
  <c r="R45" i="137"/>
  <c r="O45" i="137"/>
  <c r="K45" i="137"/>
  <c r="H45" i="137"/>
  <c r="E45" i="137"/>
  <c r="G45" i="137" s="1"/>
  <c r="B45" i="137"/>
  <c r="B47" i="137" s="1"/>
  <c r="AL43" i="137"/>
  <c r="AK43" i="137"/>
  <c r="AI43" i="137"/>
  <c r="AH43" i="137"/>
  <c r="AB43" i="137"/>
  <c r="X43" i="137"/>
  <c r="Z43" i="137" s="1"/>
  <c r="U43" i="137"/>
  <c r="W43" i="137" s="1"/>
  <c r="R43" i="137"/>
  <c r="O43" i="137"/>
  <c r="K43" i="137"/>
  <c r="M43" i="137" s="1"/>
  <c r="H43" i="137"/>
  <c r="E43" i="137"/>
  <c r="G43" i="137" s="1"/>
  <c r="B43" i="137"/>
  <c r="D43" i="137" s="1"/>
  <c r="AK42" i="137"/>
  <c r="AL41" i="137"/>
  <c r="AK41" i="137"/>
  <c r="AM41" i="137" s="1"/>
  <c r="AI41" i="137"/>
  <c r="AH41" i="137"/>
  <c r="AJ41" i="137" s="1"/>
  <c r="AB41" i="137"/>
  <c r="X41" i="137"/>
  <c r="U41" i="137"/>
  <c r="R41" i="137"/>
  <c r="T41" i="137" s="1"/>
  <c r="O41" i="137"/>
  <c r="K41" i="137"/>
  <c r="M41" i="137" s="1"/>
  <c r="H41" i="137"/>
  <c r="J41" i="137" s="1"/>
  <c r="E41" i="137"/>
  <c r="G41" i="137" s="1"/>
  <c r="B41" i="137"/>
  <c r="AK40" i="137"/>
  <c r="AL39" i="137"/>
  <c r="AK39" i="137"/>
  <c r="AM39" i="137" s="1"/>
  <c r="AI39" i="137"/>
  <c r="AH39" i="137"/>
  <c r="AJ39" i="137" s="1"/>
  <c r="AB39" i="137"/>
  <c r="X39" i="137"/>
  <c r="AA39" i="137" s="1"/>
  <c r="U39" i="137"/>
  <c r="W39" i="137" s="1"/>
  <c r="R39" i="137"/>
  <c r="T39" i="137" s="1"/>
  <c r="O39" i="137"/>
  <c r="K39" i="137"/>
  <c r="H39" i="137"/>
  <c r="J39" i="137" s="1"/>
  <c r="E39" i="137"/>
  <c r="G39" i="137" s="1"/>
  <c r="B39" i="137"/>
  <c r="D39" i="137" s="1"/>
  <c r="Y37" i="137"/>
  <c r="V37" i="137"/>
  <c r="S37" i="137"/>
  <c r="L37" i="137"/>
  <c r="L48" i="137" s="1"/>
  <c r="I37" i="137"/>
  <c r="F37" i="137"/>
  <c r="C37" i="137"/>
  <c r="C48" i="137" s="1"/>
  <c r="AL36" i="137"/>
  <c r="AK36" i="137"/>
  <c r="AM36" i="137" s="1"/>
  <c r="AI36" i="137"/>
  <c r="AJ36" i="137" s="1"/>
  <c r="AH36" i="137"/>
  <c r="AB36" i="137"/>
  <c r="X36" i="137"/>
  <c r="Z36" i="137" s="1"/>
  <c r="U36" i="137"/>
  <c r="W36" i="137" s="1"/>
  <c r="R36" i="137"/>
  <c r="T36" i="137" s="1"/>
  <c r="O36" i="137"/>
  <c r="K36" i="137"/>
  <c r="N36" i="137" s="1"/>
  <c r="H36" i="137"/>
  <c r="J36" i="137" s="1"/>
  <c r="E36" i="137"/>
  <c r="G36" i="137" s="1"/>
  <c r="B36" i="137"/>
  <c r="D36" i="137" s="1"/>
  <c r="AL35" i="137"/>
  <c r="AK35" i="137"/>
  <c r="AM35" i="137" s="1"/>
  <c r="AI35" i="137"/>
  <c r="AH35" i="137"/>
  <c r="AH37" i="137" s="1"/>
  <c r="AB35" i="137"/>
  <c r="X35" i="137"/>
  <c r="Z35" i="137" s="1"/>
  <c r="U35" i="137"/>
  <c r="W35" i="137" s="1"/>
  <c r="R35" i="137"/>
  <c r="T35" i="137" s="1"/>
  <c r="O35" i="137"/>
  <c r="K35" i="137"/>
  <c r="M35" i="137" s="1"/>
  <c r="H35" i="137"/>
  <c r="J35" i="137" s="1"/>
  <c r="E35" i="137"/>
  <c r="G35" i="137" s="1"/>
  <c r="B35" i="137"/>
  <c r="D35" i="137" s="1"/>
  <c r="AL34" i="137"/>
  <c r="AK34" i="137"/>
  <c r="AM34" i="137" s="1"/>
  <c r="AI34" i="137"/>
  <c r="AH34" i="137"/>
  <c r="AB34" i="137"/>
  <c r="X34" i="137"/>
  <c r="Z34" i="137" s="1"/>
  <c r="U34" i="137"/>
  <c r="W34" i="137" s="1"/>
  <c r="R34" i="137"/>
  <c r="T34" i="137" s="1"/>
  <c r="O34" i="137"/>
  <c r="K34" i="137"/>
  <c r="M34" i="137" s="1"/>
  <c r="H34" i="137"/>
  <c r="J34" i="137" s="1"/>
  <c r="E34" i="137"/>
  <c r="B34" i="137"/>
  <c r="AL33" i="137"/>
  <c r="AL37" i="137" s="1"/>
  <c r="AK33" i="137"/>
  <c r="AI33" i="137"/>
  <c r="AH33" i="137"/>
  <c r="AJ33" i="137" s="1"/>
  <c r="AB33" i="137"/>
  <c r="X33" i="137"/>
  <c r="U33" i="137"/>
  <c r="R33" i="137"/>
  <c r="T33" i="137" s="1"/>
  <c r="T37" i="137" s="1"/>
  <c r="O33" i="137"/>
  <c r="K33" i="137"/>
  <c r="H33" i="137"/>
  <c r="J33" i="137" s="1"/>
  <c r="E33" i="137"/>
  <c r="G33" i="137" s="1"/>
  <c r="B33" i="137"/>
  <c r="D33" i="137" s="1"/>
  <c r="AL29" i="137"/>
  <c r="AK29" i="137"/>
  <c r="AM29" i="137" s="1"/>
  <c r="AI29" i="137"/>
  <c r="AH29" i="137"/>
  <c r="AB29" i="137"/>
  <c r="X29" i="137"/>
  <c r="Z29" i="137" s="1"/>
  <c r="U29" i="137"/>
  <c r="W29" i="137" s="1"/>
  <c r="R29" i="137"/>
  <c r="AA29" i="137" s="1"/>
  <c r="O29" i="137"/>
  <c r="AO29" i="137" s="1"/>
  <c r="K29" i="137"/>
  <c r="M29" i="137" s="1"/>
  <c r="J29" i="137"/>
  <c r="H29" i="137"/>
  <c r="E29" i="137"/>
  <c r="G29" i="137" s="1"/>
  <c r="B29" i="137"/>
  <c r="D29" i="137" s="1"/>
  <c r="Y28" i="137"/>
  <c r="Y30" i="137" s="1"/>
  <c r="V28" i="137"/>
  <c r="V30" i="137" s="1"/>
  <c r="S28" i="137"/>
  <c r="S30" i="137" s="1"/>
  <c r="L28" i="137"/>
  <c r="L30" i="137" s="1"/>
  <c r="I28" i="137"/>
  <c r="I30" i="137" s="1"/>
  <c r="F28" i="137"/>
  <c r="F30" i="137" s="1"/>
  <c r="C28" i="137"/>
  <c r="C30" i="137" s="1"/>
  <c r="AL27" i="137"/>
  <c r="AK27" i="137"/>
  <c r="AI27" i="137"/>
  <c r="AH27" i="137"/>
  <c r="AJ27" i="137" s="1"/>
  <c r="AB27" i="137"/>
  <c r="X27" i="137"/>
  <c r="Z27" i="137" s="1"/>
  <c r="U27" i="137"/>
  <c r="W27" i="137" s="1"/>
  <c r="R27" i="137"/>
  <c r="O27" i="137"/>
  <c r="K27" i="137"/>
  <c r="M27" i="137" s="1"/>
  <c r="H27" i="137"/>
  <c r="J27" i="137" s="1"/>
  <c r="G27" i="137"/>
  <c r="E27" i="137"/>
  <c r="B27" i="137"/>
  <c r="D27" i="137" s="1"/>
  <c r="AL26" i="137"/>
  <c r="AK26" i="137"/>
  <c r="AM26" i="137" s="1"/>
  <c r="AI26" i="137"/>
  <c r="AH26" i="137"/>
  <c r="AJ26" i="137" s="1"/>
  <c r="AB26" i="137"/>
  <c r="X26" i="137"/>
  <c r="Z26" i="137" s="1"/>
  <c r="U26" i="137"/>
  <c r="T26" i="137"/>
  <c r="R26" i="137"/>
  <c r="O26" i="137"/>
  <c r="K26" i="137"/>
  <c r="M26" i="137" s="1"/>
  <c r="H26" i="137"/>
  <c r="J26" i="137" s="1"/>
  <c r="E26" i="137"/>
  <c r="G26" i="137" s="1"/>
  <c r="B26" i="137"/>
  <c r="D26" i="137" s="1"/>
  <c r="AL25" i="137"/>
  <c r="AK25" i="137"/>
  <c r="AM25" i="137" s="1"/>
  <c r="AI25" i="137"/>
  <c r="AH25" i="137"/>
  <c r="AB25" i="137"/>
  <c r="X25" i="137"/>
  <c r="Z25" i="137" s="1"/>
  <c r="W25" i="137"/>
  <c r="U25" i="137"/>
  <c r="R25" i="137"/>
  <c r="T25" i="137" s="1"/>
  <c r="O25" i="137"/>
  <c r="K25" i="137"/>
  <c r="M25" i="137" s="1"/>
  <c r="H25" i="137"/>
  <c r="J25" i="137" s="1"/>
  <c r="E25" i="137"/>
  <c r="G25" i="137" s="1"/>
  <c r="B25" i="137"/>
  <c r="D25" i="137" s="1"/>
  <c r="AL24" i="137"/>
  <c r="AK24" i="137"/>
  <c r="AM24" i="137" s="1"/>
  <c r="AI24" i="137"/>
  <c r="AH24" i="137"/>
  <c r="AJ24" i="137" s="1"/>
  <c r="AB24" i="137"/>
  <c r="X24" i="137"/>
  <c r="Z24" i="137" s="1"/>
  <c r="U24" i="137"/>
  <c r="W24" i="137" s="1"/>
  <c r="R24" i="137"/>
  <c r="T24" i="137" s="1"/>
  <c r="O24" i="137"/>
  <c r="K24" i="137"/>
  <c r="M24" i="137" s="1"/>
  <c r="H24" i="137"/>
  <c r="J24" i="137" s="1"/>
  <c r="E24" i="137"/>
  <c r="G24" i="137" s="1"/>
  <c r="B24" i="137"/>
  <c r="D24" i="137" s="1"/>
  <c r="P24" i="137" s="1"/>
  <c r="AL23" i="137"/>
  <c r="AK23" i="137"/>
  <c r="AI23" i="137"/>
  <c r="AH23" i="137"/>
  <c r="AB23" i="137"/>
  <c r="X23" i="137"/>
  <c r="Z23" i="137" s="1"/>
  <c r="U23" i="137"/>
  <c r="W23" i="137" s="1"/>
  <c r="R23" i="137"/>
  <c r="T23" i="137" s="1"/>
  <c r="AC23" i="137" s="1"/>
  <c r="O23" i="137"/>
  <c r="K23" i="137"/>
  <c r="M23" i="137" s="1"/>
  <c r="H23" i="137"/>
  <c r="J23" i="137" s="1"/>
  <c r="E23" i="137"/>
  <c r="G23" i="137" s="1"/>
  <c r="B23" i="137"/>
  <c r="D23" i="137" s="1"/>
  <c r="AL22" i="137"/>
  <c r="AK22" i="137"/>
  <c r="AI22" i="137"/>
  <c r="AJ22" i="137" s="1"/>
  <c r="AH22" i="137"/>
  <c r="AB22" i="137"/>
  <c r="X22" i="137"/>
  <c r="Z22" i="137" s="1"/>
  <c r="U22" i="137"/>
  <c r="W22" i="137" s="1"/>
  <c r="R22" i="137"/>
  <c r="T22" i="137" s="1"/>
  <c r="O22" i="137"/>
  <c r="AE22" i="137" s="1"/>
  <c r="K22" i="137"/>
  <c r="M22" i="137" s="1"/>
  <c r="H22" i="137"/>
  <c r="J22" i="137" s="1"/>
  <c r="E22" i="137"/>
  <c r="G22" i="137" s="1"/>
  <c r="B22" i="137"/>
  <c r="D22" i="137" s="1"/>
  <c r="AL21" i="137"/>
  <c r="AK21" i="137"/>
  <c r="AI21" i="137"/>
  <c r="AH21" i="137"/>
  <c r="AJ21" i="137" s="1"/>
  <c r="AB21" i="137"/>
  <c r="AE21" i="137" s="1"/>
  <c r="X21" i="137"/>
  <c r="Z21" i="137" s="1"/>
  <c r="U21" i="137"/>
  <c r="W21" i="137" s="1"/>
  <c r="R21" i="137"/>
  <c r="O21" i="137"/>
  <c r="K21" i="137"/>
  <c r="M21" i="137" s="1"/>
  <c r="H21" i="137"/>
  <c r="J21" i="137" s="1"/>
  <c r="E21" i="137"/>
  <c r="G21" i="137" s="1"/>
  <c r="B21" i="137"/>
  <c r="D21" i="137" s="1"/>
  <c r="AL20" i="137"/>
  <c r="AK20" i="137"/>
  <c r="AI20" i="137"/>
  <c r="AH20" i="137"/>
  <c r="AJ20" i="137" s="1"/>
  <c r="AB20" i="137"/>
  <c r="AE20" i="137" s="1"/>
  <c r="X20" i="137"/>
  <c r="Z20" i="137" s="1"/>
  <c r="U20" i="137"/>
  <c r="W20" i="137" s="1"/>
  <c r="R20" i="137"/>
  <c r="O20" i="137"/>
  <c r="K20" i="137"/>
  <c r="M20" i="137" s="1"/>
  <c r="H20" i="137"/>
  <c r="J20" i="137" s="1"/>
  <c r="E20" i="137"/>
  <c r="G20" i="137" s="1"/>
  <c r="B20" i="137"/>
  <c r="AL19" i="137"/>
  <c r="AK19" i="137"/>
  <c r="AM19" i="137" s="1"/>
  <c r="AI19" i="137"/>
  <c r="AH19" i="137"/>
  <c r="AB19" i="137"/>
  <c r="X19" i="137"/>
  <c r="Z19" i="137" s="1"/>
  <c r="U19" i="137"/>
  <c r="R19" i="137"/>
  <c r="T19" i="137" s="1"/>
  <c r="O19" i="137"/>
  <c r="K19" i="137"/>
  <c r="M19" i="137" s="1"/>
  <c r="H19" i="137"/>
  <c r="J19" i="137" s="1"/>
  <c r="E19" i="137"/>
  <c r="G19" i="137" s="1"/>
  <c r="B19" i="137"/>
  <c r="D19" i="137" s="1"/>
  <c r="AL18" i="137"/>
  <c r="AK18" i="137"/>
  <c r="AM18" i="137" s="1"/>
  <c r="AI18" i="137"/>
  <c r="AH18" i="137"/>
  <c r="AB18" i="137"/>
  <c r="X18" i="137"/>
  <c r="Z18" i="137" s="1"/>
  <c r="U18" i="137"/>
  <c r="R18" i="137"/>
  <c r="T18" i="137" s="1"/>
  <c r="O18" i="137"/>
  <c r="K18" i="137"/>
  <c r="M18" i="137" s="1"/>
  <c r="H18" i="137"/>
  <c r="J18" i="137" s="1"/>
  <c r="E18" i="137"/>
  <c r="G18" i="137" s="1"/>
  <c r="B18" i="137"/>
  <c r="D18" i="137" s="1"/>
  <c r="AL17" i="137"/>
  <c r="AK17" i="137"/>
  <c r="AI17" i="137"/>
  <c r="AH17" i="137"/>
  <c r="AB17" i="137"/>
  <c r="X17" i="137"/>
  <c r="U17" i="137"/>
  <c r="W17" i="137" s="1"/>
  <c r="R17" i="137"/>
  <c r="T17" i="137" s="1"/>
  <c r="O17" i="137"/>
  <c r="K17" i="137"/>
  <c r="M17" i="137" s="1"/>
  <c r="H17" i="137"/>
  <c r="J17" i="137" s="1"/>
  <c r="E17" i="137"/>
  <c r="G17" i="137" s="1"/>
  <c r="B17" i="137"/>
  <c r="N17" i="137" s="1"/>
  <c r="AL16" i="137"/>
  <c r="AK16" i="137"/>
  <c r="AI16" i="137"/>
  <c r="AH16" i="137"/>
  <c r="AB16" i="137"/>
  <c r="X16" i="137"/>
  <c r="U16" i="137"/>
  <c r="W16" i="137" s="1"/>
  <c r="R16" i="137"/>
  <c r="T16" i="137" s="1"/>
  <c r="O16" i="137"/>
  <c r="AO16" i="137" s="1"/>
  <c r="K16" i="137"/>
  <c r="M16" i="137" s="1"/>
  <c r="H16" i="137"/>
  <c r="J16" i="137" s="1"/>
  <c r="E16" i="137"/>
  <c r="G16" i="137" s="1"/>
  <c r="B16" i="137"/>
  <c r="D16" i="137" s="1"/>
  <c r="AL15" i="137"/>
  <c r="AK15" i="137"/>
  <c r="AM15" i="137" s="1"/>
  <c r="AI15" i="137"/>
  <c r="AH15" i="137"/>
  <c r="AB15" i="137"/>
  <c r="X15" i="137"/>
  <c r="Z15" i="137" s="1"/>
  <c r="U15" i="137"/>
  <c r="W15" i="137" s="1"/>
  <c r="R15" i="137"/>
  <c r="T15" i="137" s="1"/>
  <c r="O15" i="137"/>
  <c r="K15" i="137"/>
  <c r="M15" i="137" s="1"/>
  <c r="H15" i="137"/>
  <c r="J15" i="137" s="1"/>
  <c r="E15" i="137"/>
  <c r="G15" i="137" s="1"/>
  <c r="B15" i="137"/>
  <c r="AL14" i="137"/>
  <c r="AK14" i="137"/>
  <c r="AM14" i="137" s="1"/>
  <c r="AI14" i="137"/>
  <c r="AH14" i="137"/>
  <c r="AJ14" i="137" s="1"/>
  <c r="AB14" i="137"/>
  <c r="X14" i="137"/>
  <c r="Z14" i="137" s="1"/>
  <c r="U14" i="137"/>
  <c r="W14" i="137" s="1"/>
  <c r="T14" i="137"/>
  <c r="R14" i="137"/>
  <c r="O14" i="137"/>
  <c r="K14" i="137"/>
  <c r="M14" i="137" s="1"/>
  <c r="H14" i="137"/>
  <c r="J14" i="137" s="1"/>
  <c r="E14" i="137"/>
  <c r="G14" i="137" s="1"/>
  <c r="B14" i="137"/>
  <c r="N14" i="137" s="1"/>
  <c r="AL13" i="137"/>
  <c r="AK13" i="137"/>
  <c r="AI13" i="137"/>
  <c r="AH13" i="137"/>
  <c r="AJ13" i="137" s="1"/>
  <c r="AB13" i="137"/>
  <c r="X13" i="137"/>
  <c r="Z13" i="137" s="1"/>
  <c r="U13" i="137"/>
  <c r="W13" i="137" s="1"/>
  <c r="R13" i="137"/>
  <c r="O13" i="137"/>
  <c r="K13" i="137"/>
  <c r="M13" i="137" s="1"/>
  <c r="H13" i="137"/>
  <c r="J13" i="137" s="1"/>
  <c r="E13" i="137"/>
  <c r="B13" i="137"/>
  <c r="D13" i="137" s="1"/>
  <c r="AL12" i="137"/>
  <c r="AK12" i="137"/>
  <c r="AI12" i="137"/>
  <c r="AH12" i="137"/>
  <c r="AB12" i="137"/>
  <c r="X12" i="137"/>
  <c r="Z12" i="137" s="1"/>
  <c r="U12" i="137"/>
  <c r="W12" i="137" s="1"/>
  <c r="R12" i="137"/>
  <c r="O12" i="137"/>
  <c r="AE12" i="137" s="1"/>
  <c r="K12" i="137"/>
  <c r="M12" i="137" s="1"/>
  <c r="H12" i="137"/>
  <c r="J12" i="137" s="1"/>
  <c r="E12" i="137"/>
  <c r="G12" i="137" s="1"/>
  <c r="B12" i="137"/>
  <c r="AL11" i="137"/>
  <c r="AK11" i="137"/>
  <c r="AM11" i="137" s="1"/>
  <c r="AI11" i="137"/>
  <c r="AH11" i="137"/>
  <c r="AJ11" i="137" s="1"/>
  <c r="AB11" i="137"/>
  <c r="AE11" i="137" s="1"/>
  <c r="X11" i="137"/>
  <c r="Z11" i="137" s="1"/>
  <c r="U11" i="137"/>
  <c r="R11" i="137"/>
  <c r="T11" i="137" s="1"/>
  <c r="O11" i="137"/>
  <c r="K11" i="137"/>
  <c r="M11" i="137" s="1"/>
  <c r="H11" i="137"/>
  <c r="E11" i="137"/>
  <c r="G11" i="137" s="1"/>
  <c r="B11" i="137"/>
  <c r="D11" i="137" s="1"/>
  <c r="AL10" i="137"/>
  <c r="AK10" i="137"/>
  <c r="AI10" i="137"/>
  <c r="AH10" i="137"/>
  <c r="AB10" i="137"/>
  <c r="AE10" i="137" s="1"/>
  <c r="X10" i="137"/>
  <c r="U10" i="137"/>
  <c r="R10" i="137"/>
  <c r="O10" i="137"/>
  <c r="K10" i="137"/>
  <c r="H10" i="137"/>
  <c r="J10" i="137" s="1"/>
  <c r="E10" i="137"/>
  <c r="G10" i="137" s="1"/>
  <c r="B10" i="137"/>
  <c r="N7" i="64"/>
  <c r="M7" i="64"/>
  <c r="H7" i="64"/>
  <c r="G7" i="64"/>
  <c r="I7" i="64"/>
  <c r="N7" i="63"/>
  <c r="M7" i="63"/>
  <c r="L7" i="63"/>
  <c r="K7" i="63"/>
  <c r="J7" i="63"/>
  <c r="K8" i="64"/>
  <c r="L8" i="64"/>
  <c r="J7" i="64"/>
  <c r="K7" i="64"/>
  <c r="L7" i="64"/>
  <c r="F7" i="63"/>
  <c r="G7" i="63"/>
  <c r="G8" i="63"/>
  <c r="F8" i="63"/>
  <c r="E49" i="2"/>
  <c r="E46" i="2"/>
  <c r="T20" i="138" l="1"/>
  <c r="AF20" i="138"/>
  <c r="AI20" i="138" s="1"/>
  <c r="R39" i="138"/>
  <c r="J17" i="138"/>
  <c r="X19" i="138"/>
  <c r="AG19" i="138" s="1"/>
  <c r="AA20" i="138"/>
  <c r="G23" i="138"/>
  <c r="T23" i="138" s="1"/>
  <c r="AA23" i="138"/>
  <c r="S39" i="138"/>
  <c r="AI39" i="138" s="1"/>
  <c r="X39" i="138"/>
  <c r="AA46" i="138"/>
  <c r="AA10" i="138"/>
  <c r="D12" i="138"/>
  <c r="T12" i="138" s="1"/>
  <c r="AF15" i="138"/>
  <c r="AA19" i="138"/>
  <c r="G22" i="138"/>
  <c r="AA22" i="138"/>
  <c r="J23" i="138"/>
  <c r="AE25" i="138"/>
  <c r="X27" i="138"/>
  <c r="G33" i="138"/>
  <c r="G37" i="138" s="1"/>
  <c r="D35" i="138"/>
  <c r="X35" i="138"/>
  <c r="AA39" i="138"/>
  <c r="J41" i="138"/>
  <c r="J46" i="138"/>
  <c r="S35" i="138"/>
  <c r="AI35" i="138" s="1"/>
  <c r="X14" i="138"/>
  <c r="AA15" i="138"/>
  <c r="AG15" i="138" s="1"/>
  <c r="R17" i="138"/>
  <c r="X17" i="138"/>
  <c r="AG17" i="138" s="1"/>
  <c r="G18" i="138"/>
  <c r="F47" i="138"/>
  <c r="B47" i="138"/>
  <c r="X11" i="138"/>
  <c r="S17" i="138"/>
  <c r="AA24" i="138"/>
  <c r="I37" i="138"/>
  <c r="F37" i="138"/>
  <c r="F48" i="138" s="1"/>
  <c r="AF43" i="138"/>
  <c r="G14" i="138"/>
  <c r="G17" i="138"/>
  <c r="AA17" i="138"/>
  <c r="X20" i="138"/>
  <c r="AF26" i="138"/>
  <c r="J29" i="138"/>
  <c r="L37" i="138"/>
  <c r="S34" i="138"/>
  <c r="AF34" i="138"/>
  <c r="J35" i="138"/>
  <c r="D41" i="138"/>
  <c r="G43" i="138"/>
  <c r="AA43" i="138"/>
  <c r="I47" i="138"/>
  <c r="AE46" i="138"/>
  <c r="T34" i="138"/>
  <c r="AI16" i="138"/>
  <c r="I28" i="138"/>
  <c r="I30" i="138" s="1"/>
  <c r="H28" i="138"/>
  <c r="H30" i="138" s="1"/>
  <c r="S21" i="138"/>
  <c r="AI21" i="138" s="1"/>
  <c r="X21" i="138"/>
  <c r="AG21" i="138" s="1"/>
  <c r="J26" i="138"/>
  <c r="AE45" i="138"/>
  <c r="AE47" i="138" s="1"/>
  <c r="Z28" i="138"/>
  <c r="Z30" i="138" s="1"/>
  <c r="S27" i="138"/>
  <c r="J36" i="138"/>
  <c r="T36" i="138" s="1"/>
  <c r="X46" i="138"/>
  <c r="AG46" i="138" s="1"/>
  <c r="AE12" i="138"/>
  <c r="S14" i="138"/>
  <c r="AI14" i="138" s="1"/>
  <c r="AA18" i="138"/>
  <c r="P49" i="138"/>
  <c r="S33" i="138"/>
  <c r="E37" i="138"/>
  <c r="S43" i="138"/>
  <c r="AI43" i="138" s="1"/>
  <c r="V47" i="138"/>
  <c r="R45" i="138"/>
  <c r="R47" i="138" s="1"/>
  <c r="S15" i="138"/>
  <c r="AI15" i="138" s="1"/>
  <c r="AE19" i="138"/>
  <c r="R25" i="138"/>
  <c r="AB47" i="138"/>
  <c r="AD47" i="138"/>
  <c r="X22" i="138"/>
  <c r="AG22" i="138" s="1"/>
  <c r="L47" i="138"/>
  <c r="L48" i="138" s="1"/>
  <c r="X23" i="138"/>
  <c r="AG23" i="138" s="1"/>
  <c r="AA25" i="138"/>
  <c r="N33" i="138"/>
  <c r="N37" i="138" s="1"/>
  <c r="AF13" i="138"/>
  <c r="M48" i="138"/>
  <c r="R10" i="138"/>
  <c r="AF11" i="138"/>
  <c r="S12" i="138"/>
  <c r="X12" i="138"/>
  <c r="J18" i="138"/>
  <c r="AA21" i="138"/>
  <c r="R23" i="138"/>
  <c r="AH23" i="138" s="1"/>
  <c r="R24" i="138"/>
  <c r="AH24" i="138" s="1"/>
  <c r="S25" i="138"/>
  <c r="AI25" i="138" s="1"/>
  <c r="X25" i="138"/>
  <c r="AG25" i="138" s="1"/>
  <c r="AF27" i="138"/>
  <c r="AE29" i="138"/>
  <c r="AF33" i="138"/>
  <c r="AI33" i="138" s="1"/>
  <c r="X36" i="138"/>
  <c r="AE41" i="138"/>
  <c r="H47" i="138"/>
  <c r="AI17" i="138"/>
  <c r="D22" i="138"/>
  <c r="T22" i="138" s="1"/>
  <c r="X24" i="138"/>
  <c r="G35" i="138"/>
  <c r="R21" i="138"/>
  <c r="AE13" i="138"/>
  <c r="AF12" i="138"/>
  <c r="AE15" i="138"/>
  <c r="R34" i="138"/>
  <c r="O37" i="138"/>
  <c r="X45" i="138"/>
  <c r="X47" i="138" s="1"/>
  <c r="G11" i="138"/>
  <c r="J12" i="138"/>
  <c r="AA12" i="138"/>
  <c r="J13" i="138"/>
  <c r="AA13" i="138"/>
  <c r="AG13" i="138" s="1"/>
  <c r="R16" i="138"/>
  <c r="AE17" i="138"/>
  <c r="AH17" i="138" s="1"/>
  <c r="R20" i="138"/>
  <c r="S23" i="138"/>
  <c r="AI23" i="138" s="1"/>
  <c r="S24" i="138"/>
  <c r="G25" i="138"/>
  <c r="AF25" i="138"/>
  <c r="S26" i="138"/>
  <c r="AI26" i="138" s="1"/>
  <c r="G27" i="138"/>
  <c r="AA27" i="138"/>
  <c r="S29" i="138"/>
  <c r="AF29" i="138"/>
  <c r="X34" i="138"/>
  <c r="G36" i="138"/>
  <c r="W37" i="138"/>
  <c r="G41" i="138"/>
  <c r="AF41" i="138"/>
  <c r="AI41" i="138" s="1"/>
  <c r="R43" i="138"/>
  <c r="Z47" i="138"/>
  <c r="AF46" i="138"/>
  <c r="AF47" i="138" s="1"/>
  <c r="AO11" i="137"/>
  <c r="AO18" i="137"/>
  <c r="AO25" i="137"/>
  <c r="AJ25" i="137"/>
  <c r="AE26" i="137"/>
  <c r="AE27" i="137"/>
  <c r="AI47" i="137"/>
  <c r="AO19" i="137"/>
  <c r="AO12" i="137"/>
  <c r="AE17" i="137"/>
  <c r="N24" i="137"/>
  <c r="AE43" i="137"/>
  <c r="K47" i="137"/>
  <c r="F48" i="137"/>
  <c r="F49" i="137" s="1"/>
  <c r="E37" i="137"/>
  <c r="AA14" i="137"/>
  <c r="AO17" i="137"/>
  <c r="AM43" i="137"/>
  <c r="AA11" i="137"/>
  <c r="N12" i="137"/>
  <c r="AM13" i="137"/>
  <c r="AJ19" i="137"/>
  <c r="AA26" i="137"/>
  <c r="V48" i="137"/>
  <c r="V49" i="137" s="1"/>
  <c r="N43" i="137"/>
  <c r="C49" i="137"/>
  <c r="AB37" i="137"/>
  <c r="N39" i="137"/>
  <c r="AD39" i="137" s="1"/>
  <c r="J43" i="137"/>
  <c r="X28" i="137"/>
  <c r="X30" i="137" s="1"/>
  <c r="AO14" i="137"/>
  <c r="AE18" i="137"/>
  <c r="N20" i="137"/>
  <c r="AO20" i="137"/>
  <c r="AO21" i="137"/>
  <c r="AC22" i="137"/>
  <c r="N23" i="137"/>
  <c r="P25" i="137"/>
  <c r="AP25" i="137" s="1"/>
  <c r="AE29" i="137"/>
  <c r="L49" i="137"/>
  <c r="P35" i="137"/>
  <c r="H37" i="137"/>
  <c r="N41" i="137"/>
  <c r="AN41" i="137" s="1"/>
  <c r="Z10" i="137"/>
  <c r="Z28" i="137" s="1"/>
  <c r="Z30" i="137" s="1"/>
  <c r="AA12" i="137"/>
  <c r="AN12" i="137" s="1"/>
  <c r="AA13" i="137"/>
  <c r="AO15" i="137"/>
  <c r="AJ15" i="137"/>
  <c r="AM16" i="137"/>
  <c r="AM17" i="137"/>
  <c r="AJ18" i="137"/>
  <c r="AE19" i="137"/>
  <c r="D20" i="137"/>
  <c r="P20" i="137" s="1"/>
  <c r="AM22" i="137"/>
  <c r="AM23" i="137"/>
  <c r="AA24" i="137"/>
  <c r="AJ29" i="137"/>
  <c r="N33" i="137"/>
  <c r="AN33" i="137" s="1"/>
  <c r="U37" i="137"/>
  <c r="N34" i="137"/>
  <c r="AA35" i="137"/>
  <c r="I48" i="137"/>
  <c r="I49" i="137" s="1"/>
  <c r="Z39" i="137"/>
  <c r="AC39" i="137" s="1"/>
  <c r="AE41" i="137"/>
  <c r="D45" i="137"/>
  <c r="D47" i="137" s="1"/>
  <c r="AC15" i="137"/>
  <c r="D12" i="137"/>
  <c r="AE24" i="137"/>
  <c r="G34" i="137"/>
  <c r="G37" i="137" s="1"/>
  <c r="AH28" i="137"/>
  <c r="AH30" i="137" s="1"/>
  <c r="E28" i="137"/>
  <c r="E30" i="137" s="1"/>
  <c r="AO10" i="137"/>
  <c r="AO13" i="137"/>
  <c r="AA16" i="137"/>
  <c r="AA17" i="137"/>
  <c r="AA23" i="137"/>
  <c r="N25" i="137"/>
  <c r="AO26" i="137"/>
  <c r="AO27" i="137"/>
  <c r="AI37" i="137"/>
  <c r="AJ34" i="137"/>
  <c r="Y48" i="137"/>
  <c r="Y49" i="137" s="1"/>
  <c r="AO43" i="137"/>
  <c r="N15" i="137"/>
  <c r="AN15" i="137" s="1"/>
  <c r="D17" i="137"/>
  <c r="P17" i="137" s="1"/>
  <c r="AA18" i="137"/>
  <c r="AA25" i="137"/>
  <c r="T29" i="137"/>
  <c r="AC29" i="137" s="1"/>
  <c r="AA19" i="137"/>
  <c r="P29" i="137"/>
  <c r="AC46" i="137"/>
  <c r="AF46" i="137" s="1"/>
  <c r="S48" i="137"/>
  <c r="S49" i="137" s="1"/>
  <c r="H28" i="137"/>
  <c r="H30" i="137" s="1"/>
  <c r="E47" i="137"/>
  <c r="D14" i="137"/>
  <c r="P14" i="137" s="1"/>
  <c r="P23" i="137"/>
  <c r="AF23" i="137" s="1"/>
  <c r="AE39" i="137"/>
  <c r="AA10" i="137"/>
  <c r="AL28" i="137"/>
  <c r="AL30" i="137" s="1"/>
  <c r="AJ12" i="137"/>
  <c r="AJ16" i="137"/>
  <c r="AJ17" i="137"/>
  <c r="AA20" i="137"/>
  <c r="AD20" i="137" s="1"/>
  <c r="AA21" i="137"/>
  <c r="AJ23" i="137"/>
  <c r="AO24" i="137"/>
  <c r="AA33" i="137"/>
  <c r="AM33" i="137"/>
  <c r="AM37" i="137" s="1"/>
  <c r="AC34" i="137"/>
  <c r="AA36" i="137"/>
  <c r="AN36" i="137" s="1"/>
  <c r="AA41" i="137"/>
  <c r="P19" i="137"/>
  <c r="AC11" i="137"/>
  <c r="AD33" i="137"/>
  <c r="P11" i="137"/>
  <c r="P21" i="137"/>
  <c r="P22" i="137"/>
  <c r="AD12" i="137"/>
  <c r="AN14" i="137"/>
  <c r="AD14" i="137"/>
  <c r="AC14" i="137"/>
  <c r="P12" i="137"/>
  <c r="AN17" i="137"/>
  <c r="AD17" i="137"/>
  <c r="AC18" i="137"/>
  <c r="P16" i="137"/>
  <c r="P18" i="137"/>
  <c r="K28" i="137"/>
  <c r="K30" i="137" s="1"/>
  <c r="W10" i="137"/>
  <c r="J11" i="137"/>
  <c r="J28" i="137" s="1"/>
  <c r="J30" i="137" s="1"/>
  <c r="T12" i="137"/>
  <c r="AC12" i="137" s="1"/>
  <c r="AM12" i="137"/>
  <c r="G13" i="137"/>
  <c r="P13" i="137" s="1"/>
  <c r="D15" i="137"/>
  <c r="P15" i="137" s="1"/>
  <c r="AA15" i="137"/>
  <c r="N16" i="137"/>
  <c r="Z16" i="137"/>
  <c r="AC16" i="137" s="1"/>
  <c r="W18" i="137"/>
  <c r="T20" i="137"/>
  <c r="AC20" i="137" s="1"/>
  <c r="AM20" i="137"/>
  <c r="AM21" i="137"/>
  <c r="AO23" i="137"/>
  <c r="AE23" i="137"/>
  <c r="D34" i="137"/>
  <c r="M36" i="137"/>
  <c r="P36" i="137" s="1"/>
  <c r="R37" i="137"/>
  <c r="AK37" i="137"/>
  <c r="D41" i="137"/>
  <c r="P41" i="137" s="1"/>
  <c r="G12" i="138"/>
  <c r="AA14" i="138"/>
  <c r="AG14" i="138" s="1"/>
  <c r="AE14" i="138"/>
  <c r="P26" i="137"/>
  <c r="Q28" i="138"/>
  <c r="Q30" i="138" s="1"/>
  <c r="M10" i="137"/>
  <c r="M28" i="137" s="1"/>
  <c r="M30" i="137" s="1"/>
  <c r="W11" i="137"/>
  <c r="T13" i="137"/>
  <c r="AC13" i="137" s="1"/>
  <c r="Z17" i="137"/>
  <c r="AC17" i="137" s="1"/>
  <c r="W19" i="137"/>
  <c r="AC19" i="137" s="1"/>
  <c r="T21" i="137"/>
  <c r="AC21" i="137" s="1"/>
  <c r="AC26" i="137"/>
  <c r="AM27" i="137"/>
  <c r="M39" i="137"/>
  <c r="P39" i="137" s="1"/>
  <c r="M45" i="137"/>
  <c r="M47" i="137" s="1"/>
  <c r="B28" i="138"/>
  <c r="B30" i="138" s="1"/>
  <c r="D10" i="138"/>
  <c r="X26" i="138"/>
  <c r="AG26" i="138" s="1"/>
  <c r="AE26" i="138"/>
  <c r="B28" i="137"/>
  <c r="B30" i="137" s="1"/>
  <c r="N10" i="137"/>
  <c r="AI28" i="137"/>
  <c r="AI30" i="137" s="1"/>
  <c r="AE13" i="137"/>
  <c r="N18" i="137"/>
  <c r="U28" i="137"/>
  <c r="U30" i="137" s="1"/>
  <c r="AI48" i="137"/>
  <c r="AO36" i="137"/>
  <c r="AE36" i="137"/>
  <c r="AO41" i="137"/>
  <c r="F28" i="138"/>
  <c r="F30" i="138" s="1"/>
  <c r="S10" i="138"/>
  <c r="G10" i="138"/>
  <c r="AO45" i="137"/>
  <c r="AE45" i="137"/>
  <c r="R15" i="138"/>
  <c r="AH15" i="138" s="1"/>
  <c r="D15" i="138"/>
  <c r="T15" i="138" s="1"/>
  <c r="AB37" i="138"/>
  <c r="AB48" i="138" s="1"/>
  <c r="AE33" i="138"/>
  <c r="AD33" i="138"/>
  <c r="AD37" i="138" s="1"/>
  <c r="D10" i="137"/>
  <c r="AJ10" i="137"/>
  <c r="N11" i="137"/>
  <c r="AE14" i="137"/>
  <c r="N19" i="137"/>
  <c r="N22" i="137"/>
  <c r="AA22" i="137"/>
  <c r="AC24" i="137"/>
  <c r="W26" i="137"/>
  <c r="P27" i="137"/>
  <c r="AA27" i="137"/>
  <c r="N35" i="137"/>
  <c r="AC36" i="137"/>
  <c r="AA46" i="137"/>
  <c r="AD23" i="137"/>
  <c r="O28" i="137"/>
  <c r="AB47" i="137"/>
  <c r="AB48" i="137" s="1"/>
  <c r="AB28" i="137"/>
  <c r="AB30" i="137" s="1"/>
  <c r="AK28" i="137"/>
  <c r="AK30" i="137" s="1"/>
  <c r="AE15" i="137"/>
  <c r="AO22" i="137"/>
  <c r="AE25" i="137"/>
  <c r="T27" i="137"/>
  <c r="AC27" i="137" s="1"/>
  <c r="AA34" i="137"/>
  <c r="AO35" i="137"/>
  <c r="AE35" i="137"/>
  <c r="N45" i="137"/>
  <c r="AK47" i="137"/>
  <c r="U47" i="137"/>
  <c r="U48" i="137" s="1"/>
  <c r="Y28" i="138"/>
  <c r="Y30" i="138" s="1"/>
  <c r="AA11" i="138"/>
  <c r="R13" i="138"/>
  <c r="AH13" i="138" s="1"/>
  <c r="G13" i="138"/>
  <c r="R14" i="138"/>
  <c r="D14" i="138"/>
  <c r="T14" i="138" s="1"/>
  <c r="G21" i="138"/>
  <c r="T21" i="138" s="1"/>
  <c r="AJ21" i="138" s="1"/>
  <c r="O37" i="137"/>
  <c r="AO33" i="137"/>
  <c r="AE33" i="137"/>
  <c r="R28" i="137"/>
  <c r="R30" i="137" s="1"/>
  <c r="N13" i="137"/>
  <c r="AE16" i="137"/>
  <c r="N21" i="137"/>
  <c r="AC25" i="137"/>
  <c r="J37" i="137"/>
  <c r="W47" i="137"/>
  <c r="AL47" i="137"/>
  <c r="AL48" i="137" s="1"/>
  <c r="S11" i="138"/>
  <c r="D16" i="138"/>
  <c r="T16" i="138" s="1"/>
  <c r="AJ16" i="138" s="1"/>
  <c r="AE27" i="138"/>
  <c r="AD27" i="138"/>
  <c r="AG27" i="138" s="1"/>
  <c r="T10" i="137"/>
  <c r="AM10" i="137"/>
  <c r="N26" i="137"/>
  <c r="K37" i="137"/>
  <c r="AO34" i="137"/>
  <c r="AE34" i="137"/>
  <c r="AC35" i="137"/>
  <c r="AF35" i="137" s="1"/>
  <c r="AJ35" i="137"/>
  <c r="AJ37" i="137" s="1"/>
  <c r="AJ43" i="137"/>
  <c r="G47" i="137"/>
  <c r="Z47" i="137"/>
  <c r="AM45" i="137"/>
  <c r="AM47" i="137" s="1"/>
  <c r="AB28" i="138"/>
  <c r="AB30" i="138" s="1"/>
  <c r="AE10" i="138"/>
  <c r="AH10" i="138" s="1"/>
  <c r="AD10" i="138"/>
  <c r="J11" i="138"/>
  <c r="R12" i="138"/>
  <c r="J27" i="138"/>
  <c r="R47" i="137"/>
  <c r="AA45" i="137"/>
  <c r="O47" i="137"/>
  <c r="AO46" i="137"/>
  <c r="AG20" i="138"/>
  <c r="N27" i="137"/>
  <c r="W33" i="137"/>
  <c r="AO39" i="137"/>
  <c r="W41" i="137"/>
  <c r="AC41" i="137" s="1"/>
  <c r="P43" i="137"/>
  <c r="T45" i="137"/>
  <c r="N46" i="137"/>
  <c r="R11" i="138"/>
  <c r="D29" i="138"/>
  <c r="N47" i="138"/>
  <c r="N29" i="137"/>
  <c r="M33" i="137"/>
  <c r="X37" i="137"/>
  <c r="B37" i="137"/>
  <c r="B48" i="137" s="1"/>
  <c r="AA43" i="137"/>
  <c r="AN43" i="137" s="1"/>
  <c r="H47" i="137"/>
  <c r="H48" i="137" s="1"/>
  <c r="H49" i="137" s="1"/>
  <c r="AE46" i="137"/>
  <c r="V28" i="138"/>
  <c r="V30" i="138" s="1"/>
  <c r="X10" i="138"/>
  <c r="D17" i="138"/>
  <c r="T17" i="138" s="1"/>
  <c r="AD19" i="138"/>
  <c r="D25" i="138"/>
  <c r="T25" i="138" s="1"/>
  <c r="R29" i="138"/>
  <c r="G29" i="138"/>
  <c r="X29" i="138"/>
  <c r="AG29" i="138" s="1"/>
  <c r="X33" i="138"/>
  <c r="V37" i="138"/>
  <c r="V48" i="138" s="1"/>
  <c r="Z33" i="137"/>
  <c r="Z37" i="137" s="1"/>
  <c r="T43" i="137"/>
  <c r="AC43" i="137" s="1"/>
  <c r="J45" i="137"/>
  <c r="S13" i="138"/>
  <c r="AI13" i="138" s="1"/>
  <c r="X18" i="138"/>
  <c r="AE18" i="138"/>
  <c r="R19" i="138"/>
  <c r="AH19" i="138" s="1"/>
  <c r="D19" i="138"/>
  <c r="T19" i="138" s="1"/>
  <c r="H37" i="138"/>
  <c r="H48" i="138" s="1"/>
  <c r="J33" i="138"/>
  <c r="AC48" i="138"/>
  <c r="AC49" i="138" s="1"/>
  <c r="O47" i="138"/>
  <c r="Q45" i="138"/>
  <c r="Q47" i="138" s="1"/>
  <c r="AG34" i="138"/>
  <c r="AG39" i="138"/>
  <c r="AH43" i="138"/>
  <c r="R27" i="138"/>
  <c r="D27" i="138"/>
  <c r="I48" i="138"/>
  <c r="Z37" i="138"/>
  <c r="Q36" i="138"/>
  <c r="Q37" i="138" s="1"/>
  <c r="Q48" i="138" s="1"/>
  <c r="E47" i="138"/>
  <c r="E48" i="138" s="1"/>
  <c r="G45" i="138"/>
  <c r="X47" i="137"/>
  <c r="C28" i="138"/>
  <c r="C30" i="138" s="1"/>
  <c r="L28" i="138"/>
  <c r="L30" i="138" s="1"/>
  <c r="W28" i="138"/>
  <c r="W30" i="138" s="1"/>
  <c r="AF10" i="138"/>
  <c r="AE11" i="138"/>
  <c r="R22" i="138"/>
  <c r="AI24" i="138"/>
  <c r="Y37" i="138"/>
  <c r="AA35" i="138"/>
  <c r="AG35" i="138" s="1"/>
  <c r="R36" i="138"/>
  <c r="D46" i="138"/>
  <c r="AH47" i="137"/>
  <c r="AH48" i="137" s="1"/>
  <c r="N10" i="138"/>
  <c r="N28" i="138" s="1"/>
  <c r="N30" i="138" s="1"/>
  <c r="AE16" i="138"/>
  <c r="R18" i="138"/>
  <c r="D18" i="138"/>
  <c r="AE22" i="138"/>
  <c r="D24" i="138"/>
  <c r="T24" i="138" s="1"/>
  <c r="AG36" i="138"/>
  <c r="R41" i="138"/>
  <c r="AH41" i="138" s="1"/>
  <c r="AG43" i="138"/>
  <c r="Y47" i="138"/>
  <c r="AA45" i="138"/>
  <c r="R46" i="138"/>
  <c r="E28" i="138"/>
  <c r="E30" i="138" s="1"/>
  <c r="O28" i="138"/>
  <c r="O30" i="138" s="1"/>
  <c r="S18" i="138"/>
  <c r="AI18" i="138" s="1"/>
  <c r="AE24" i="138"/>
  <c r="R26" i="138"/>
  <c r="D26" i="138"/>
  <c r="T26" i="138" s="1"/>
  <c r="M49" i="138"/>
  <c r="R33" i="138"/>
  <c r="B37" i="138"/>
  <c r="D33" i="138"/>
  <c r="R35" i="138"/>
  <c r="AF36" i="138"/>
  <c r="J43" i="138"/>
  <c r="C47" i="138"/>
  <c r="C48" i="138" s="1"/>
  <c r="AE39" i="138"/>
  <c r="AE43" i="138"/>
  <c r="AE20" i="138"/>
  <c r="S22" i="138"/>
  <c r="AE34" i="138"/>
  <c r="W47" i="138"/>
  <c r="AE21" i="138"/>
  <c r="AH21" i="138" s="1"/>
  <c r="AE35" i="138"/>
  <c r="D39" i="138"/>
  <c r="T39" i="138" s="1"/>
  <c r="D43" i="138"/>
  <c r="S45" i="138"/>
  <c r="G46" i="138"/>
  <c r="AE36" i="138"/>
  <c r="AF22" i="138"/>
  <c r="J45" i="138"/>
  <c r="J47" i="138" s="1"/>
  <c r="D23" i="23"/>
  <c r="G75" i="52"/>
  <c r="D62" i="11"/>
  <c r="C61" i="11"/>
  <c r="C40" i="11"/>
  <c r="D27" i="23"/>
  <c r="C9" i="7"/>
  <c r="AG24" i="138" l="1"/>
  <c r="AH34" i="138"/>
  <c r="AJ36" i="138"/>
  <c r="AH39" i="138"/>
  <c r="AJ25" i="138"/>
  <c r="Y48" i="138"/>
  <c r="Y49" i="138" s="1"/>
  <c r="AH12" i="138"/>
  <c r="AJ15" i="138"/>
  <c r="T35" i="138"/>
  <c r="T45" i="138"/>
  <c r="AJ17" i="138"/>
  <c r="T41" i="138"/>
  <c r="AJ41" i="138" s="1"/>
  <c r="AI27" i="138"/>
  <c r="B48" i="138"/>
  <c r="B49" i="138" s="1"/>
  <c r="AJ24" i="138"/>
  <c r="O48" i="138"/>
  <c r="O49" i="138" s="1"/>
  <c r="AG18" i="138"/>
  <c r="AD48" i="138"/>
  <c r="W48" i="138"/>
  <c r="S37" i="138"/>
  <c r="AI11" i="138"/>
  <c r="AH46" i="138"/>
  <c r="AH36" i="138"/>
  <c r="AG11" i="138"/>
  <c r="F49" i="138"/>
  <c r="N48" i="138"/>
  <c r="AH25" i="138"/>
  <c r="AJ34" i="138"/>
  <c r="AI34" i="138"/>
  <c r="Z48" i="138"/>
  <c r="Z49" i="138" s="1"/>
  <c r="H49" i="138"/>
  <c r="AB49" i="138"/>
  <c r="AI12" i="138"/>
  <c r="I49" i="138"/>
  <c r="AH26" i="138"/>
  <c r="L49" i="138"/>
  <c r="T27" i="138"/>
  <c r="AJ27" i="138" s="1"/>
  <c r="T13" i="138"/>
  <c r="AJ13" i="138" s="1"/>
  <c r="AJ23" i="138"/>
  <c r="AI46" i="138"/>
  <c r="AF37" i="138"/>
  <c r="AF48" i="138" s="1"/>
  <c r="T18" i="138"/>
  <c r="AJ12" i="138"/>
  <c r="AI36" i="138"/>
  <c r="AA37" i="138"/>
  <c r="AH16" i="138"/>
  <c r="AH45" i="138"/>
  <c r="AH47" i="138" s="1"/>
  <c r="G28" i="138"/>
  <c r="G30" i="138" s="1"/>
  <c r="AG12" i="138"/>
  <c r="J37" i="138"/>
  <c r="J48" i="138" s="1"/>
  <c r="AI29" i="138"/>
  <c r="AI22" i="138"/>
  <c r="AH20" i="138"/>
  <c r="AH29" i="138"/>
  <c r="T11" i="138"/>
  <c r="J28" i="138"/>
  <c r="J30" i="138" s="1"/>
  <c r="G48" i="137"/>
  <c r="AA37" i="137"/>
  <c r="AH49" i="137"/>
  <c r="AD25" i="137"/>
  <c r="AA47" i="137"/>
  <c r="AN34" i="137"/>
  <c r="AP46" i="137"/>
  <c r="K48" i="137"/>
  <c r="AN20" i="137"/>
  <c r="E49" i="137"/>
  <c r="E48" i="137"/>
  <c r="AJ48" i="137"/>
  <c r="AN23" i="137"/>
  <c r="AI49" i="137"/>
  <c r="AM48" i="137"/>
  <c r="AN39" i="137"/>
  <c r="AD41" i="137"/>
  <c r="AN24" i="137"/>
  <c r="AP29" i="137"/>
  <c r="AA48" i="137"/>
  <c r="AD43" i="137"/>
  <c r="AD24" i="137"/>
  <c r="AD36" i="137"/>
  <c r="AP35" i="137"/>
  <c r="AF29" i="137"/>
  <c r="AP23" i="137"/>
  <c r="Z48" i="137"/>
  <c r="Z49" i="137" s="1"/>
  <c r="M37" i="137"/>
  <c r="M48" i="137" s="1"/>
  <c r="M49" i="137" s="1"/>
  <c r="AA28" i="137"/>
  <c r="AA30" i="137" s="1"/>
  <c r="P34" i="137"/>
  <c r="AP34" i="137" s="1"/>
  <c r="AL49" i="137"/>
  <c r="AJ28" i="137"/>
  <c r="AJ30" i="137" s="1"/>
  <c r="N37" i="137"/>
  <c r="AD37" i="137" s="1"/>
  <c r="AN25" i="137"/>
  <c r="AD15" i="137"/>
  <c r="AF36" i="137"/>
  <c r="AP36" i="137"/>
  <c r="AP13" i="137"/>
  <c r="AF13" i="137"/>
  <c r="AN27" i="137"/>
  <c r="AD27" i="137"/>
  <c r="AE37" i="137"/>
  <c r="O48" i="137"/>
  <c r="AD19" i="137"/>
  <c r="AN19" i="137"/>
  <c r="AG33" i="138"/>
  <c r="X37" i="138"/>
  <c r="X48" i="138" s="1"/>
  <c r="AN29" i="137"/>
  <c r="AD29" i="137"/>
  <c r="S28" i="138"/>
  <c r="S30" i="138" s="1"/>
  <c r="AI10" i="138"/>
  <c r="AD18" i="137"/>
  <c r="AN18" i="137"/>
  <c r="D28" i="138"/>
  <c r="D30" i="138" s="1"/>
  <c r="T10" i="138"/>
  <c r="AJ26" i="138"/>
  <c r="AA47" i="138"/>
  <c r="AG45" i="138"/>
  <c r="AJ18" i="138"/>
  <c r="AF28" i="138"/>
  <c r="AF30" i="138" s="1"/>
  <c r="AF49" i="138" s="1"/>
  <c r="V49" i="138"/>
  <c r="AN46" i="137"/>
  <c r="AD46" i="137"/>
  <c r="AD26" i="137"/>
  <c r="AN26" i="137"/>
  <c r="AN21" i="137"/>
  <c r="AD21" i="137"/>
  <c r="O30" i="137"/>
  <c r="AE28" i="137"/>
  <c r="AP27" i="137"/>
  <c r="AF27" i="137"/>
  <c r="AD11" i="137"/>
  <c r="AN11" i="137"/>
  <c r="P33" i="137"/>
  <c r="AP24" i="137"/>
  <c r="AA28" i="138"/>
  <c r="AA30" i="138" s="1"/>
  <c r="E49" i="138"/>
  <c r="U49" i="137"/>
  <c r="AN37" i="137"/>
  <c r="AP15" i="137"/>
  <c r="AF15" i="137"/>
  <c r="AP11" i="137"/>
  <c r="AF11" i="137"/>
  <c r="X28" i="138"/>
  <c r="X30" i="138" s="1"/>
  <c r="AG10" i="138"/>
  <c r="AH11" i="138"/>
  <c r="D37" i="137"/>
  <c r="D48" i="137" s="1"/>
  <c r="G28" i="137"/>
  <c r="G30" i="137" s="1"/>
  <c r="G49" i="137" s="1"/>
  <c r="AP19" i="137"/>
  <c r="AF19" i="137"/>
  <c r="AH35" i="138"/>
  <c r="AH18" i="138"/>
  <c r="AJ35" i="138"/>
  <c r="W49" i="138"/>
  <c r="J47" i="137"/>
  <c r="J48" i="137" s="1"/>
  <c r="J49" i="137" s="1"/>
  <c r="P45" i="137"/>
  <c r="T47" i="137"/>
  <c r="T48" i="137" s="1"/>
  <c r="AC45" i="137"/>
  <c r="AC47" i="137" s="1"/>
  <c r="AM28" i="137"/>
  <c r="AM30" i="137" s="1"/>
  <c r="AJ49" i="137"/>
  <c r="Q49" i="138"/>
  <c r="AF41" i="137"/>
  <c r="AP41" i="137"/>
  <c r="AF24" i="137"/>
  <c r="AJ20" i="138"/>
  <c r="AD34" i="137"/>
  <c r="AF25" i="137"/>
  <c r="AF43" i="137"/>
  <c r="AP43" i="137"/>
  <c r="AN45" i="137"/>
  <c r="N47" i="137"/>
  <c r="AD47" i="137" s="1"/>
  <c r="AD45" i="137"/>
  <c r="T28" i="137"/>
  <c r="T30" i="137" s="1"/>
  <c r="AC10" i="137"/>
  <c r="AC28" i="137" s="1"/>
  <c r="AC30" i="137" s="1"/>
  <c r="AJ14" i="138"/>
  <c r="D28" i="137"/>
  <c r="D30" i="137" s="1"/>
  <c r="P10" i="137"/>
  <c r="AP26" i="137"/>
  <c r="AF26" i="137"/>
  <c r="AP18" i="137"/>
  <c r="AF18" i="137"/>
  <c r="AP14" i="137"/>
  <c r="AF14" i="137"/>
  <c r="C49" i="138"/>
  <c r="AF39" i="137"/>
  <c r="AP39" i="137"/>
  <c r="T43" i="138"/>
  <c r="AJ43" i="138" s="1"/>
  <c r="AH22" i="138"/>
  <c r="AJ22" i="138"/>
  <c r="AJ19" i="138"/>
  <c r="T29" i="138"/>
  <c r="AJ29" i="138" s="1"/>
  <c r="AD28" i="138"/>
  <c r="AD30" i="138" s="1"/>
  <c r="AD49" i="138" s="1"/>
  <c r="AK49" i="137"/>
  <c r="AN35" i="137"/>
  <c r="AD35" i="137"/>
  <c r="AE37" i="138"/>
  <c r="AE48" i="138" s="1"/>
  <c r="B49" i="137"/>
  <c r="AK48" i="137"/>
  <c r="AN16" i="137"/>
  <c r="AD16" i="137"/>
  <c r="K49" i="137"/>
  <c r="AF16" i="137"/>
  <c r="AP16" i="137"/>
  <c r="AP12" i="137"/>
  <c r="AF12" i="137"/>
  <c r="AP21" i="137"/>
  <c r="AF21" i="137"/>
  <c r="R28" i="138"/>
  <c r="R30" i="138" s="1"/>
  <c r="R49" i="138" s="1"/>
  <c r="AN13" i="137"/>
  <c r="AD13" i="137"/>
  <c r="AO47" i="137"/>
  <c r="AI45" i="138"/>
  <c r="S47" i="138"/>
  <c r="S48" i="138" s="1"/>
  <c r="D37" i="138"/>
  <c r="T33" i="138"/>
  <c r="N49" i="138"/>
  <c r="AH27" i="138"/>
  <c r="AH14" i="138"/>
  <c r="N28" i="137"/>
  <c r="AD10" i="137"/>
  <c r="AN10" i="137"/>
  <c r="W28" i="137"/>
  <c r="W30" i="137" s="1"/>
  <c r="AF17" i="137"/>
  <c r="AP17" i="137"/>
  <c r="AP22" i="137"/>
  <c r="AF22" i="137"/>
  <c r="AJ39" i="138"/>
  <c r="R37" i="138"/>
  <c r="R48" i="138" s="1"/>
  <c r="AH33" i="138"/>
  <c r="T46" i="138"/>
  <c r="AJ46" i="138" s="1"/>
  <c r="G47" i="138"/>
  <c r="G48" i="138" s="1"/>
  <c r="D47" i="138"/>
  <c r="X48" i="137"/>
  <c r="X49" i="137" s="1"/>
  <c r="W37" i="137"/>
  <c r="W48" i="137" s="1"/>
  <c r="AC33" i="137"/>
  <c r="AC37" i="137" s="1"/>
  <c r="AE47" i="137"/>
  <c r="AE28" i="138"/>
  <c r="AE30" i="138" s="1"/>
  <c r="AO37" i="137"/>
  <c r="AB49" i="137"/>
  <c r="AN22" i="137"/>
  <c r="AD22" i="137"/>
  <c r="R48" i="137"/>
  <c r="R49" i="137" s="1"/>
  <c r="AP20" i="137"/>
  <c r="AF20" i="137"/>
  <c r="AO28" i="137"/>
  <c r="D9" i="17"/>
  <c r="D10" i="17"/>
  <c r="D11" i="17"/>
  <c r="D12" i="17"/>
  <c r="D13" i="17"/>
  <c r="D14" i="17"/>
  <c r="D15" i="17"/>
  <c r="D16" i="17"/>
  <c r="D17" i="17"/>
  <c r="D18" i="17"/>
  <c r="AI37" i="138" l="1"/>
  <c r="G49" i="138"/>
  <c r="AJ11" i="138"/>
  <c r="AI47" i="138"/>
  <c r="AH28" i="138"/>
  <c r="AH30" i="138" s="1"/>
  <c r="J49" i="138"/>
  <c r="AE49" i="138"/>
  <c r="AA48" i="138"/>
  <c r="AA49" i="138" s="1"/>
  <c r="D48" i="138"/>
  <c r="D49" i="138" s="1"/>
  <c r="AM49" i="137"/>
  <c r="AF34" i="137"/>
  <c r="AD48" i="137"/>
  <c r="D49" i="137"/>
  <c r="AE48" i="137"/>
  <c r="AA49" i="137"/>
  <c r="AG28" i="138"/>
  <c r="AG30" i="138" s="1"/>
  <c r="AO48" i="137"/>
  <c r="AP10" i="137"/>
  <c r="P28" i="137"/>
  <c r="AF10" i="137"/>
  <c r="X49" i="138"/>
  <c r="AG47" i="138"/>
  <c r="T28" i="138"/>
  <c r="T30" i="138" s="1"/>
  <c r="AJ10" i="138"/>
  <c r="AJ28" i="138" s="1"/>
  <c r="AJ30" i="138" s="1"/>
  <c r="AI48" i="138"/>
  <c r="AO30" i="137"/>
  <c r="AC49" i="137"/>
  <c r="AN28" i="137"/>
  <c r="N30" i="137"/>
  <c r="AD28" i="137"/>
  <c r="AH37" i="138"/>
  <c r="AH48" i="138" s="1"/>
  <c r="AH49" i="138" s="1"/>
  <c r="W49" i="137"/>
  <c r="T49" i="137"/>
  <c r="P47" i="137"/>
  <c r="AF47" i="137" s="1"/>
  <c r="AP45" i="137"/>
  <c r="AF45" i="137"/>
  <c r="AI28" i="138"/>
  <c r="AI30" i="138" s="1"/>
  <c r="AI49" i="138" s="1"/>
  <c r="AN47" i="137"/>
  <c r="AG37" i="138"/>
  <c r="AG48" i="138" s="1"/>
  <c r="AC48" i="137"/>
  <c r="T47" i="138"/>
  <c r="AP33" i="137"/>
  <c r="AF33" i="137"/>
  <c r="P37" i="137"/>
  <c r="O49" i="137"/>
  <c r="AE30" i="137"/>
  <c r="S49" i="138"/>
  <c r="T37" i="138"/>
  <c r="T48" i="138" s="1"/>
  <c r="AJ33" i="138"/>
  <c r="AJ37" i="138" s="1"/>
  <c r="AJ45" i="138"/>
  <c r="AJ47" i="138" s="1"/>
  <c r="N48" i="137"/>
  <c r="C25" i="16"/>
  <c r="D25" i="16"/>
  <c r="C20" i="16"/>
  <c r="D20" i="16"/>
  <c r="B20" i="16"/>
  <c r="C24" i="128"/>
  <c r="D24" i="128"/>
  <c r="B24" i="128"/>
  <c r="B97" i="11"/>
  <c r="B18" i="10"/>
  <c r="B26" i="9"/>
  <c r="B37" i="8"/>
  <c r="B72" i="7"/>
  <c r="B15" i="11"/>
  <c r="J21" i="2"/>
  <c r="I21" i="2"/>
  <c r="C88" i="11"/>
  <c r="C10" i="7"/>
  <c r="C69" i="11"/>
  <c r="C7" i="8"/>
  <c r="D10" i="23"/>
  <c r="C10" i="23"/>
  <c r="C21" i="11"/>
  <c r="C19" i="11"/>
  <c r="D86" i="11"/>
  <c r="E8" i="23"/>
  <c r="T49" i="138" l="1"/>
  <c r="AE49" i="137"/>
  <c r="AJ48" i="138"/>
  <c r="AJ49" i="138" s="1"/>
  <c r="AP37" i="137"/>
  <c r="AN48" i="137"/>
  <c r="N49" i="137"/>
  <c r="AD30" i="137"/>
  <c r="AD49" i="137" s="1"/>
  <c r="AO49" i="137"/>
  <c r="P30" i="137"/>
  <c r="AF28" i="137"/>
  <c r="AG49" i="138"/>
  <c r="AF37" i="137"/>
  <c r="AF48" i="137" s="1"/>
  <c r="P48" i="137"/>
  <c r="AP47" i="137"/>
  <c r="AN30" i="137"/>
  <c r="AP28" i="137"/>
  <c r="C39" i="11"/>
  <c r="C22" i="128"/>
  <c r="D22" i="128"/>
  <c r="C14" i="11"/>
  <c r="C15" i="11" s="1"/>
  <c r="K47" i="2"/>
  <c r="K46" i="2"/>
  <c r="P49" i="137" l="1"/>
  <c r="AF30" i="137"/>
  <c r="AF49" i="137" s="1"/>
  <c r="AP30" i="137"/>
  <c r="AP48" i="137"/>
  <c r="AN49" i="137"/>
  <c r="H89" i="52"/>
  <c r="B88" i="11"/>
  <c r="D87" i="11"/>
  <c r="C25" i="9"/>
  <c r="C26" i="9" s="1"/>
  <c r="C7" i="9"/>
  <c r="D44" i="23"/>
  <c r="C22" i="16"/>
  <c r="C19" i="7"/>
  <c r="C11" i="7"/>
  <c r="C8" i="7"/>
  <c r="C68" i="7"/>
  <c r="C17" i="10"/>
  <c r="C18" i="10" s="1"/>
  <c r="C22" i="11"/>
  <c r="C8" i="6"/>
  <c r="D21" i="128"/>
  <c r="C11" i="17"/>
  <c r="C53" i="7"/>
  <c r="AP49" i="137" l="1"/>
  <c r="C25" i="6"/>
  <c r="B25" i="6"/>
  <c r="D24" i="6"/>
  <c r="C7" i="6"/>
  <c r="D46" i="23"/>
  <c r="C20" i="8"/>
  <c r="C9" i="8"/>
  <c r="E30" i="23"/>
  <c r="E16" i="54"/>
  <c r="C95" i="11"/>
  <c r="C97" i="11" s="1"/>
  <c r="C36" i="8"/>
  <c r="C37" i="8" s="1"/>
  <c r="C71" i="7"/>
  <c r="C72" i="7" s="1"/>
  <c r="C32" i="6"/>
  <c r="C31" i="6"/>
  <c r="C7" i="11"/>
  <c r="C6" i="11"/>
  <c r="C7" i="10"/>
  <c r="C51" i="7"/>
  <c r="C15" i="7"/>
  <c r="D8" i="54" l="1"/>
  <c r="E8" i="54"/>
  <c r="C8" i="54"/>
  <c r="D18" i="54"/>
  <c r="C18" i="54"/>
  <c r="C26" i="16"/>
  <c r="B26" i="16"/>
  <c r="B25" i="16"/>
  <c r="D16" i="7" l="1"/>
  <c r="C17" i="7"/>
  <c r="B17" i="7"/>
  <c r="N10" i="64" l="1"/>
  <c r="C10" i="64"/>
  <c r="M9" i="64"/>
  <c r="M11" i="64" s="1"/>
  <c r="J9" i="64"/>
  <c r="J11" i="64" s="1"/>
  <c r="I9" i="64"/>
  <c r="I11" i="64" s="1"/>
  <c r="H9" i="64"/>
  <c r="H11" i="64" s="1"/>
  <c r="G9" i="64"/>
  <c r="G11" i="64" s="1"/>
  <c r="F9" i="64"/>
  <c r="F11" i="64" s="1"/>
  <c r="N9" i="64"/>
  <c r="N11" i="64" s="1"/>
  <c r="L9" i="64"/>
  <c r="L11" i="64" s="1"/>
  <c r="K9" i="64"/>
  <c r="K11" i="64" s="1"/>
  <c r="E7" i="64"/>
  <c r="E9" i="64" s="1"/>
  <c r="E11" i="64" s="1"/>
  <c r="D7" i="64"/>
  <c r="D9" i="64" s="1"/>
  <c r="D11" i="64" s="1"/>
  <c r="C7" i="64"/>
  <c r="C9" i="64" s="1"/>
  <c r="C11" i="64" s="1"/>
  <c r="D11" i="63"/>
  <c r="D9" i="63"/>
  <c r="L8" i="63"/>
  <c r="K8" i="63"/>
  <c r="K9" i="63" s="1"/>
  <c r="K11" i="63" s="1"/>
  <c r="N9" i="63"/>
  <c r="N11" i="63" s="1"/>
  <c r="M9" i="63"/>
  <c r="M11" i="63" s="1"/>
  <c r="L9" i="63"/>
  <c r="L11" i="63" s="1"/>
  <c r="J9" i="63"/>
  <c r="J11" i="63" s="1"/>
  <c r="I7" i="63"/>
  <c r="I9" i="63" s="1"/>
  <c r="I11" i="63" s="1"/>
  <c r="H7" i="63"/>
  <c r="H9" i="63" s="1"/>
  <c r="H11" i="63" s="1"/>
  <c r="G9" i="63"/>
  <c r="G11" i="63" s="1"/>
  <c r="F9" i="63"/>
  <c r="F11" i="63" s="1"/>
  <c r="E7" i="63"/>
  <c r="E9" i="63" s="1"/>
  <c r="E11" i="63" s="1"/>
  <c r="C7" i="63"/>
  <c r="C9" i="63" s="1"/>
  <c r="C11" i="63" s="1"/>
  <c r="K17" i="77"/>
  <c r="K13" i="77"/>
  <c r="D17" i="77"/>
  <c r="D13" i="77"/>
  <c r="K18" i="77" l="1"/>
  <c r="K20" i="77" s="1"/>
  <c r="D18" i="77"/>
  <c r="D20" i="77" s="1"/>
  <c r="D34" i="11"/>
  <c r="D33" i="11"/>
  <c r="K17" i="2" l="1"/>
  <c r="K18" i="2"/>
  <c r="K19" i="2"/>
  <c r="K20" i="2"/>
  <c r="F47" i="2"/>
  <c r="F48" i="2"/>
  <c r="F49" i="2"/>
  <c r="F50" i="2"/>
  <c r="F51" i="2"/>
  <c r="F46" i="2"/>
  <c r="E50" i="23"/>
  <c r="E42" i="23"/>
  <c r="E43" i="23"/>
  <c r="E44" i="23"/>
  <c r="E45" i="23"/>
  <c r="E41" i="23"/>
  <c r="E37" i="23"/>
  <c r="E33" i="23"/>
  <c r="E34" i="23"/>
  <c r="E35" i="23"/>
  <c r="E32" i="23"/>
  <c r="E26" i="23"/>
  <c r="E27" i="23"/>
  <c r="E28" i="23"/>
  <c r="E29" i="23"/>
  <c r="E24" i="23"/>
  <c r="E23" i="23"/>
  <c r="E19" i="23"/>
  <c r="E18" i="23"/>
  <c r="E12" i="23"/>
  <c r="E9" i="23"/>
  <c r="E7" i="23"/>
  <c r="E21" i="54"/>
  <c r="E22" i="54"/>
  <c r="E23" i="54"/>
  <c r="E24" i="54"/>
  <c r="E25" i="54"/>
  <c r="E26" i="54"/>
  <c r="E20" i="54"/>
  <c r="E17" i="54"/>
  <c r="E14" i="54"/>
  <c r="E10" i="54"/>
  <c r="D8" i="17"/>
  <c r="D19" i="17"/>
  <c r="D20" i="17"/>
  <c r="D21" i="17"/>
  <c r="D22" i="17"/>
  <c r="D23" i="17"/>
  <c r="D24" i="17"/>
  <c r="D25" i="17"/>
  <c r="D26" i="17"/>
  <c r="D27" i="17"/>
  <c r="D7" i="17"/>
  <c r="D22" i="16"/>
  <c r="D26" i="16" s="1"/>
  <c r="D23" i="16"/>
  <c r="D24" i="16"/>
  <c r="D21" i="16"/>
  <c r="D19" i="16"/>
  <c r="D14" i="16"/>
  <c r="D15" i="16"/>
  <c r="D16" i="16"/>
  <c r="D17" i="16"/>
  <c r="D18" i="16"/>
  <c r="D13" i="16"/>
  <c r="D12" i="16"/>
  <c r="D8" i="16"/>
  <c r="D9" i="16"/>
  <c r="D10" i="16"/>
  <c r="D11" i="16"/>
  <c r="D7" i="16"/>
  <c r="D9" i="128"/>
  <c r="D10" i="128"/>
  <c r="D11" i="128"/>
  <c r="D12" i="128"/>
  <c r="D13" i="128"/>
  <c r="D14" i="128"/>
  <c r="D15" i="128"/>
  <c r="D16" i="128"/>
  <c r="D17" i="128"/>
  <c r="D18" i="128"/>
  <c r="D19" i="128"/>
  <c r="D20" i="128"/>
  <c r="D23" i="128"/>
  <c r="D8" i="128"/>
  <c r="D7" i="128"/>
  <c r="D96" i="11"/>
  <c r="D95" i="11"/>
  <c r="D79" i="11"/>
  <c r="D80" i="11"/>
  <c r="D81" i="11"/>
  <c r="D82" i="11"/>
  <c r="D83" i="11"/>
  <c r="D84" i="11"/>
  <c r="D85" i="11"/>
  <c r="D78" i="11"/>
  <c r="D57" i="11"/>
  <c r="D58" i="11"/>
  <c r="D59" i="11"/>
  <c r="D60" i="11"/>
  <c r="D61" i="11"/>
  <c r="D63" i="11"/>
  <c r="D64" i="11"/>
  <c r="D65" i="11"/>
  <c r="D66" i="11"/>
  <c r="D67" i="11"/>
  <c r="D69" i="11"/>
  <c r="D70" i="11"/>
  <c r="D71" i="11"/>
  <c r="D72" i="11"/>
  <c r="D73" i="11"/>
  <c r="D75" i="11"/>
  <c r="D56" i="11"/>
  <c r="D55" i="11"/>
  <c r="D48" i="11"/>
  <c r="D49" i="11"/>
  <c r="D50" i="11"/>
  <c r="D51" i="11"/>
  <c r="D52" i="11"/>
  <c r="D53" i="11"/>
  <c r="D47" i="11"/>
  <c r="D39" i="11"/>
  <c r="D40" i="11"/>
  <c r="D42" i="11"/>
  <c r="D43" i="11"/>
  <c r="D44" i="11"/>
  <c r="D45" i="11"/>
  <c r="D37" i="11"/>
  <c r="D36" i="11"/>
  <c r="D27" i="11"/>
  <c r="D28" i="11"/>
  <c r="D29" i="11"/>
  <c r="D30" i="11"/>
  <c r="D31" i="11"/>
  <c r="D35" i="11"/>
  <c r="D32" i="11"/>
  <c r="D26" i="11"/>
  <c r="D25" i="11"/>
  <c r="D22" i="11"/>
  <c r="D23" i="11"/>
  <c r="D24" i="11"/>
  <c r="D21" i="11"/>
  <c r="D20" i="11"/>
  <c r="D19" i="11"/>
  <c r="D18" i="11"/>
  <c r="D17" i="11"/>
  <c r="D11" i="11"/>
  <c r="D12" i="11"/>
  <c r="D13" i="11"/>
  <c r="D14" i="11"/>
  <c r="D10" i="11"/>
  <c r="D7" i="11"/>
  <c r="D6" i="11"/>
  <c r="D17" i="10"/>
  <c r="D18" i="10" s="1"/>
  <c r="D10" i="10"/>
  <c r="D9" i="10"/>
  <c r="D7" i="10"/>
  <c r="D25" i="9"/>
  <c r="D26" i="9" s="1"/>
  <c r="D11" i="9"/>
  <c r="D12" i="9"/>
  <c r="D13" i="9"/>
  <c r="D14" i="9"/>
  <c r="D15" i="9"/>
  <c r="D16" i="9"/>
  <c r="D17" i="9"/>
  <c r="D10" i="9"/>
  <c r="D9" i="9"/>
  <c r="D7" i="9"/>
  <c r="D36" i="8"/>
  <c r="D37" i="8" s="1"/>
  <c r="D24" i="8"/>
  <c r="D25" i="8"/>
  <c r="D26" i="8"/>
  <c r="D27" i="8"/>
  <c r="D28" i="8"/>
  <c r="D29" i="8"/>
  <c r="D23" i="8"/>
  <c r="D22" i="8"/>
  <c r="D12" i="8"/>
  <c r="D13" i="8"/>
  <c r="D14" i="8"/>
  <c r="D15" i="8"/>
  <c r="D16" i="8"/>
  <c r="D17" i="8"/>
  <c r="D18" i="8"/>
  <c r="D19" i="8"/>
  <c r="D20" i="8"/>
  <c r="D21" i="8"/>
  <c r="D11" i="8"/>
  <c r="D10" i="8"/>
  <c r="D9" i="8"/>
  <c r="D7" i="8"/>
  <c r="D69" i="7"/>
  <c r="D70" i="7"/>
  <c r="D71" i="7"/>
  <c r="D68" i="7"/>
  <c r="D58" i="7"/>
  <c r="D59" i="7"/>
  <c r="D57" i="7"/>
  <c r="D52" i="7"/>
  <c r="D53" i="7"/>
  <c r="D51" i="7"/>
  <c r="D49" i="7"/>
  <c r="D47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24" i="7"/>
  <c r="D19" i="7"/>
  <c r="D18" i="7"/>
  <c r="D15" i="7"/>
  <c r="D14" i="7"/>
  <c r="D11" i="7"/>
  <c r="D10" i="7"/>
  <c r="D9" i="7"/>
  <c r="D8" i="7"/>
  <c r="D32" i="6"/>
  <c r="D31" i="6"/>
  <c r="D17" i="6"/>
  <c r="D18" i="6"/>
  <c r="D19" i="6"/>
  <c r="D20" i="6"/>
  <c r="D21" i="6"/>
  <c r="D22" i="6"/>
  <c r="D23" i="6"/>
  <c r="D16" i="6"/>
  <c r="D15" i="6"/>
  <c r="D14" i="6"/>
  <c r="D13" i="6"/>
  <c r="D12" i="6"/>
  <c r="D11" i="6"/>
  <c r="D10" i="6"/>
  <c r="D8" i="6"/>
  <c r="D7" i="6"/>
  <c r="H93" i="52"/>
  <c r="H94" i="52"/>
  <c r="H95" i="52"/>
  <c r="H96" i="52"/>
  <c r="H97" i="52"/>
  <c r="H98" i="52"/>
  <c r="H99" i="52"/>
  <c r="H100" i="52"/>
  <c r="H101" i="52"/>
  <c r="H102" i="52"/>
  <c r="H92" i="52"/>
  <c r="H83" i="52"/>
  <c r="H84" i="52"/>
  <c r="H85" i="52"/>
  <c r="H86" i="52"/>
  <c r="H87" i="52"/>
  <c r="H88" i="52"/>
  <c r="H81" i="52"/>
  <c r="H59" i="52"/>
  <c r="H60" i="52"/>
  <c r="H61" i="52"/>
  <c r="H62" i="52"/>
  <c r="H63" i="52"/>
  <c r="H64" i="52"/>
  <c r="H65" i="52"/>
  <c r="H66" i="52"/>
  <c r="H67" i="52"/>
  <c r="H68" i="52"/>
  <c r="H69" i="52"/>
  <c r="H70" i="52"/>
  <c r="H72" i="52"/>
  <c r="H73" i="52"/>
  <c r="H74" i="52"/>
  <c r="H75" i="52"/>
  <c r="H77" i="52"/>
  <c r="H58" i="52"/>
  <c r="H48" i="52"/>
  <c r="H50" i="52"/>
  <c r="H51" i="52"/>
  <c r="H53" i="52"/>
  <c r="H54" i="52"/>
  <c r="H55" i="52"/>
  <c r="H39" i="52"/>
  <c r="H40" i="52"/>
  <c r="H41" i="52"/>
  <c r="H38" i="52"/>
  <c r="H37" i="52"/>
  <c r="H29" i="52"/>
  <c r="H24" i="52"/>
  <c r="H25" i="52"/>
  <c r="H26" i="52"/>
  <c r="H23" i="52"/>
  <c r="H20" i="52"/>
  <c r="H17" i="52"/>
  <c r="H16" i="52"/>
  <c r="H14" i="52"/>
  <c r="H12" i="52"/>
  <c r="H10" i="52"/>
  <c r="H8" i="52"/>
  <c r="E10" i="23" l="1"/>
  <c r="D72" i="7"/>
  <c r="D25" i="6"/>
  <c r="D88" i="11"/>
  <c r="D97" i="11"/>
  <c r="D15" i="11"/>
  <c r="K21" i="2"/>
  <c r="E46" i="23"/>
  <c r="D17" i="7"/>
  <c r="E18" i="54"/>
  <c r="G27" i="52" l="1"/>
  <c r="C13" i="77" l="1"/>
  <c r="J13" i="2" l="1"/>
  <c r="K13" i="2" l="1"/>
  <c r="I13" i="2"/>
  <c r="D20" i="23" l="1"/>
  <c r="E20" i="23"/>
  <c r="C20" i="23"/>
  <c r="C20" i="7"/>
  <c r="C8" i="11"/>
  <c r="C12" i="7"/>
  <c r="B12" i="7"/>
  <c r="C9" i="6"/>
  <c r="D9" i="6"/>
  <c r="D20" i="7" l="1"/>
  <c r="C21" i="7"/>
  <c r="D8" i="11"/>
  <c r="D12" i="7"/>
  <c r="C30" i="8"/>
  <c r="C31" i="8" s="1"/>
  <c r="C39" i="8" s="1"/>
  <c r="D21" i="7" l="1"/>
  <c r="C28" i="17"/>
  <c r="C60" i="7" l="1"/>
  <c r="C46" i="7"/>
  <c r="C54" i="7"/>
  <c r="C55" i="7" l="1"/>
  <c r="C49" i="23"/>
  <c r="C46" i="23"/>
  <c r="I39" i="2" s="1"/>
  <c r="I38" i="2"/>
  <c r="C16" i="23"/>
  <c r="I37" i="2" s="1"/>
  <c r="C13" i="23"/>
  <c r="I36" i="2" s="1"/>
  <c r="I35" i="2"/>
  <c r="D49" i="23"/>
  <c r="J40" i="2" s="1"/>
  <c r="B8" i="11"/>
  <c r="C18" i="64"/>
  <c r="C24" i="64"/>
  <c r="C23" i="64"/>
  <c r="C20" i="64"/>
  <c r="C19" i="64"/>
  <c r="C22" i="64"/>
  <c r="C15" i="64"/>
  <c r="I31" i="2"/>
  <c r="F16" i="77"/>
  <c r="G16" i="77" s="1"/>
  <c r="F15" i="77"/>
  <c r="G15" i="77" s="1"/>
  <c r="F14" i="77"/>
  <c r="G14" i="77" s="1"/>
  <c r="F19" i="77"/>
  <c r="G19" i="77" s="1"/>
  <c r="J38" i="2"/>
  <c r="K38" i="2"/>
  <c r="F8" i="77"/>
  <c r="M8" i="77"/>
  <c r="N8" i="77" s="1"/>
  <c r="F9" i="77"/>
  <c r="G9" i="77" s="1"/>
  <c r="M9" i="77"/>
  <c r="F10" i="77"/>
  <c r="G10" i="77" s="1"/>
  <c r="M10" i="77"/>
  <c r="N10" i="77" s="1"/>
  <c r="F11" i="77"/>
  <c r="G11" i="77" s="1"/>
  <c r="M11" i="77"/>
  <c r="N11" i="77" s="1"/>
  <c r="F12" i="77"/>
  <c r="G12" i="77" s="1"/>
  <c r="M12" i="77"/>
  <c r="N12" i="77" s="1"/>
  <c r="E13" i="77"/>
  <c r="J13" i="77"/>
  <c r="L13" i="77"/>
  <c r="M14" i="77"/>
  <c r="N14" i="77" s="1"/>
  <c r="M15" i="77"/>
  <c r="N15" i="77" s="1"/>
  <c r="M16" i="77"/>
  <c r="N16" i="77" s="1"/>
  <c r="C17" i="77"/>
  <c r="E17" i="77"/>
  <c r="J17" i="77"/>
  <c r="L17" i="77"/>
  <c r="M19" i="77"/>
  <c r="N19" i="77" s="1"/>
  <c r="B10" i="64" s="1"/>
  <c r="D16" i="64"/>
  <c r="D17" i="64"/>
  <c r="D18" i="64"/>
  <c r="D19" i="64"/>
  <c r="D20" i="64"/>
  <c r="D21" i="64"/>
  <c r="D22" i="64"/>
  <c r="D23" i="64"/>
  <c r="D24" i="64"/>
  <c r="D25" i="64"/>
  <c r="D26" i="64"/>
  <c r="C16" i="64"/>
  <c r="C21" i="64"/>
  <c r="C25" i="64"/>
  <c r="J35" i="2"/>
  <c r="K35" i="2"/>
  <c r="D13" i="23"/>
  <c r="J36" i="2" s="1"/>
  <c r="E13" i="23"/>
  <c r="K36" i="2" s="1"/>
  <c r="D16" i="23"/>
  <c r="J37" i="2" s="1"/>
  <c r="E16" i="23"/>
  <c r="K37" i="2" s="1"/>
  <c r="J39" i="2"/>
  <c r="E11" i="54"/>
  <c r="C11" i="54"/>
  <c r="D28" i="2" s="1"/>
  <c r="D11" i="54"/>
  <c r="E28" i="2" s="1"/>
  <c r="D29" i="2"/>
  <c r="E29" i="2"/>
  <c r="F29" i="2"/>
  <c r="C27" i="54"/>
  <c r="D30" i="2" s="1"/>
  <c r="D27" i="54"/>
  <c r="E27" i="54"/>
  <c r="J15" i="2"/>
  <c r="J14" i="2"/>
  <c r="C76" i="11"/>
  <c r="J33" i="2"/>
  <c r="B11" i="10"/>
  <c r="B12" i="10" s="1"/>
  <c r="B20" i="10" s="1"/>
  <c r="C11" i="10"/>
  <c r="C12" i="10" s="1"/>
  <c r="C20" i="10" s="1"/>
  <c r="D11" i="10"/>
  <c r="D12" i="10" s="1"/>
  <c r="D20" i="10" s="1"/>
  <c r="C18" i="9"/>
  <c r="C19" i="9" s="1"/>
  <c r="C28" i="9" s="1"/>
  <c r="K30" i="2"/>
  <c r="J29" i="2"/>
  <c r="B33" i="6"/>
  <c r="I28" i="2" s="1"/>
  <c r="C33" i="6"/>
  <c r="J28" i="2" s="1"/>
  <c r="D33" i="6"/>
  <c r="F15" i="52"/>
  <c r="G15" i="52"/>
  <c r="G18" i="52" s="1"/>
  <c r="H15" i="52"/>
  <c r="F21" i="52"/>
  <c r="G21" i="52"/>
  <c r="H21" i="52"/>
  <c r="F30" i="52"/>
  <c r="G30" i="52"/>
  <c r="H30" i="52"/>
  <c r="F34" i="52"/>
  <c r="G34" i="52"/>
  <c r="H34" i="52"/>
  <c r="F37" i="52"/>
  <c r="G37" i="52"/>
  <c r="F42" i="52"/>
  <c r="G42" i="52"/>
  <c r="G56" i="52"/>
  <c r="E8" i="2" s="1"/>
  <c r="G78" i="52"/>
  <c r="E9" i="2" s="1"/>
  <c r="F90" i="52"/>
  <c r="D10" i="2" s="1"/>
  <c r="G90" i="52"/>
  <c r="E10" i="2" s="1"/>
  <c r="H90" i="52"/>
  <c r="F10" i="2" s="1"/>
  <c r="G103" i="52"/>
  <c r="E11" i="2" s="1"/>
  <c r="I30" i="2"/>
  <c r="J30" i="2"/>
  <c r="J31" i="2"/>
  <c r="I32" i="2"/>
  <c r="J32" i="2"/>
  <c r="K32" i="2"/>
  <c r="I41" i="2"/>
  <c r="J41" i="2"/>
  <c r="K41" i="2"/>
  <c r="D52" i="2"/>
  <c r="E52" i="2"/>
  <c r="J52" i="2"/>
  <c r="B10" i="63" l="1"/>
  <c r="I40" i="2"/>
  <c r="E49" i="23"/>
  <c r="K40" i="2" s="1"/>
  <c r="H27" i="52"/>
  <c r="F27" i="52"/>
  <c r="F30" i="2"/>
  <c r="E27" i="2"/>
  <c r="C18" i="77"/>
  <c r="C20" i="77" s="1"/>
  <c r="L18" i="77"/>
  <c r="L20" i="77" s="1"/>
  <c r="B9" i="6"/>
  <c r="B26" i="6" s="1"/>
  <c r="B35" i="6" s="1"/>
  <c r="B20" i="7"/>
  <c r="B21" i="7" s="1"/>
  <c r="I33" i="2"/>
  <c r="K29" i="2"/>
  <c r="K28" i="2"/>
  <c r="E18" i="77"/>
  <c r="E20" i="77" s="1"/>
  <c r="K31" i="2"/>
  <c r="K33" i="2"/>
  <c r="B30" i="8"/>
  <c r="F52" i="2"/>
  <c r="J10" i="2"/>
  <c r="D28" i="17"/>
  <c r="B18" i="9"/>
  <c r="B19" i="9" s="1"/>
  <c r="B28" i="9" s="1"/>
  <c r="D30" i="8"/>
  <c r="D31" i="8" s="1"/>
  <c r="D39" i="8" s="1"/>
  <c r="J11" i="2"/>
  <c r="B28" i="17"/>
  <c r="I15" i="2" s="1"/>
  <c r="I14" i="2"/>
  <c r="D76" i="11"/>
  <c r="D18" i="9"/>
  <c r="D19" i="9" s="1"/>
  <c r="D28" i="9" s="1"/>
  <c r="B60" i="7"/>
  <c r="I11" i="2"/>
  <c r="F56" i="52"/>
  <c r="D8" i="2" s="1"/>
  <c r="M17" i="77"/>
  <c r="D60" i="7"/>
  <c r="D27" i="2"/>
  <c r="F103" i="52"/>
  <c r="D11" i="2" s="1"/>
  <c r="C26" i="64"/>
  <c r="B76" i="11"/>
  <c r="G17" i="77"/>
  <c r="J7" i="2"/>
  <c r="N17" i="77"/>
  <c r="B8" i="64" s="1"/>
  <c r="C51" i="23"/>
  <c r="C89" i="11"/>
  <c r="C90" i="11" s="1"/>
  <c r="C99" i="11" s="1"/>
  <c r="C26" i="6"/>
  <c r="C35" i="6" s="1"/>
  <c r="G31" i="52"/>
  <c r="G35" i="52" s="1"/>
  <c r="G43" i="52" s="1"/>
  <c r="D46" i="7"/>
  <c r="B46" i="7"/>
  <c r="B48" i="7" s="1"/>
  <c r="C48" i="7"/>
  <c r="C61" i="7" s="1"/>
  <c r="D54" i="7"/>
  <c r="B54" i="7"/>
  <c r="B55" i="7" s="1"/>
  <c r="H103" i="52"/>
  <c r="F78" i="52"/>
  <c r="D9" i="2" s="1"/>
  <c r="I52" i="2"/>
  <c r="J34" i="2"/>
  <c r="J42" i="2"/>
  <c r="J9" i="2"/>
  <c r="H56" i="52"/>
  <c r="C17" i="64"/>
  <c r="F18" i="52"/>
  <c r="J18" i="77"/>
  <c r="J20" i="77" s="1"/>
  <c r="D15" i="64"/>
  <c r="E15" i="64" s="1"/>
  <c r="E16" i="64" s="1"/>
  <c r="G8" i="77"/>
  <c r="G13" i="77" s="1"/>
  <c r="F13" i="77"/>
  <c r="M13" i="77"/>
  <c r="N9" i="77"/>
  <c r="N13" i="77" s="1"/>
  <c r="H42" i="52"/>
  <c r="D51" i="23"/>
  <c r="K39" i="2"/>
  <c r="H78" i="52"/>
  <c r="E30" i="2"/>
  <c r="F28" i="2"/>
  <c r="K52" i="2"/>
  <c r="I29" i="2"/>
  <c r="F17" i="77"/>
  <c r="H18" i="52"/>
  <c r="B7" i="63" l="1"/>
  <c r="I42" i="2"/>
  <c r="E51" i="23"/>
  <c r="K42" i="2"/>
  <c r="B8" i="63"/>
  <c r="D27" i="64"/>
  <c r="E43" i="2"/>
  <c r="D28" i="54"/>
  <c r="C27" i="64"/>
  <c r="F27" i="2"/>
  <c r="F43" i="2" s="1"/>
  <c r="B31" i="8"/>
  <c r="B39" i="8" s="1"/>
  <c r="B89" i="11"/>
  <c r="B90" i="11" s="1"/>
  <c r="B99" i="11" s="1"/>
  <c r="K34" i="2"/>
  <c r="I7" i="2"/>
  <c r="D26" i="6"/>
  <c r="D35" i="6" s="1"/>
  <c r="D89" i="11"/>
  <c r="D90" i="11" s="1"/>
  <c r="D99" i="11" s="1"/>
  <c r="D55" i="7"/>
  <c r="D43" i="2"/>
  <c r="C28" i="54"/>
  <c r="E17" i="64"/>
  <c r="E18" i="64" s="1"/>
  <c r="E19" i="64" s="1"/>
  <c r="E20" i="64" s="1"/>
  <c r="E21" i="64" s="1"/>
  <c r="E22" i="64" s="1"/>
  <c r="E23" i="64" s="1"/>
  <c r="E24" i="64" s="1"/>
  <c r="E25" i="64" s="1"/>
  <c r="E26" i="64" s="1"/>
  <c r="M18" i="77"/>
  <c r="M20" i="77" s="1"/>
  <c r="J12" i="2"/>
  <c r="F8" i="2"/>
  <c r="D48" i="7"/>
  <c r="B61" i="7"/>
  <c r="C62" i="7"/>
  <c r="C74" i="7" s="1"/>
  <c r="J43" i="2"/>
  <c r="F11" i="2"/>
  <c r="F31" i="52"/>
  <c r="F35" i="52" s="1"/>
  <c r="F43" i="52" s="1"/>
  <c r="D7" i="2" s="1"/>
  <c r="G104" i="52"/>
  <c r="E7" i="2"/>
  <c r="E22" i="2" s="1"/>
  <c r="B7" i="64"/>
  <c r="N18" i="77"/>
  <c r="N20" i="77" s="1"/>
  <c r="K11" i="2"/>
  <c r="I10" i="2"/>
  <c r="I34" i="2"/>
  <c r="K15" i="2"/>
  <c r="H31" i="52"/>
  <c r="K10" i="2"/>
  <c r="E28" i="54"/>
  <c r="F9" i="2"/>
  <c r="F18" i="77"/>
  <c r="F20" i="77" s="1"/>
  <c r="G18" i="77"/>
  <c r="G20" i="77" s="1"/>
  <c r="K43" i="2" l="1"/>
  <c r="E27" i="64"/>
  <c r="E55" i="2"/>
  <c r="I12" i="2"/>
  <c r="I9" i="2"/>
  <c r="K14" i="2"/>
  <c r="K9" i="2"/>
  <c r="D61" i="7"/>
  <c r="K12" i="2"/>
  <c r="K7" i="2"/>
  <c r="F104" i="52"/>
  <c r="B62" i="7"/>
  <c r="B74" i="7" s="1"/>
  <c r="J8" i="2"/>
  <c r="B9" i="63"/>
  <c r="H35" i="52"/>
  <c r="I43" i="2"/>
  <c r="B9" i="64"/>
  <c r="D22" i="2"/>
  <c r="J22" i="2" l="1"/>
  <c r="D62" i="7"/>
  <c r="D74" i="7" s="1"/>
  <c r="I8" i="2"/>
  <c r="B11" i="64"/>
  <c r="D55" i="2"/>
  <c r="H43" i="52"/>
  <c r="B11" i="63"/>
  <c r="J55" i="2" l="1"/>
  <c r="K8" i="2"/>
  <c r="I22" i="2"/>
  <c r="F7" i="2"/>
  <c r="H104" i="52"/>
  <c r="K22" i="2" l="1"/>
  <c r="F22" i="2"/>
  <c r="I55" i="2"/>
  <c r="K55" i="2" l="1"/>
  <c r="F55" i="2"/>
  <c r="B12" i="64" l="1"/>
</calcChain>
</file>

<file path=xl/sharedStrings.xml><?xml version="1.0" encoding="utf-8"?>
<sst xmlns="http://schemas.openxmlformats.org/spreadsheetml/2006/main" count="1413" uniqueCount="752">
  <si>
    <t>Lakás bérleti díj támogatás</t>
  </si>
  <si>
    <t>Hézagkiöntés</t>
  </si>
  <si>
    <t>Hídfenntartás</t>
  </si>
  <si>
    <t>Idegenforgalmi adó</t>
  </si>
  <si>
    <t>Polgármesteri Hivatal</t>
  </si>
  <si>
    <t>Önkormányzat egyéb kiadásai</t>
  </si>
  <si>
    <t>Önkormányzat egyéb kiadásai (Főépítészi kiadások)</t>
  </si>
  <si>
    <t>Önkormányzat egyéb kiadásai (Hatósági kiadások)</t>
  </si>
  <si>
    <t>Önkormányzat egyéb kiadásai (informatikai kiadások)</t>
  </si>
  <si>
    <t>Informatikai fejlesztések</t>
  </si>
  <si>
    <t>Környezetvédelmi birság</t>
  </si>
  <si>
    <t>Tartalékok</t>
  </si>
  <si>
    <t xml:space="preserve"> </t>
  </si>
  <si>
    <t>Egyesített Bölcsődei Intézmény</t>
  </si>
  <si>
    <t>MŰKÖDÉSI BEVÉTELEK</t>
  </si>
  <si>
    <t>MŰKÖDÉSI KIADÁSOK</t>
  </si>
  <si>
    <t>Egyéb fejlesztések</t>
  </si>
  <si>
    <t>Egyéb adó és bírságok, pótlékok</t>
  </si>
  <si>
    <t>Szociális hét</t>
  </si>
  <si>
    <t>Nagyprojektek, projektek</t>
  </si>
  <si>
    <t>Posta költség</t>
  </si>
  <si>
    <t>TERMÉK ÉS SZOLGÁLTATÁSOK ADÓI</t>
  </si>
  <si>
    <t>JÖVEDELEMADÓK</t>
  </si>
  <si>
    <t>VAGYONI TÍPUSÚ ADÓK</t>
  </si>
  <si>
    <t>EGYÉB KÖZHATALMI BEVÉTELEK</t>
  </si>
  <si>
    <t>ÖNKORMÁNYZATOK MŰKÖDÉSI TÁMOGATÁSAI</t>
  </si>
  <si>
    <t>Kiszámlázott általános forgalmi adó és áfa visszatérítése</t>
  </si>
  <si>
    <t>Kamatbevételek</t>
  </si>
  <si>
    <t>Office 365 rendszer működtetése</t>
  </si>
  <si>
    <t>Felhalmozási célú visszatérítendő támogatások, kölcsönök visszatérülése államháztartáson kívülről</t>
  </si>
  <si>
    <t>Egyéb felhalmozási célú átvett pénzeszközök</t>
  </si>
  <si>
    <t>Működési célú visszatérítendő támogatások, kölcsönök visszatérülése államháztartáson kívülről</t>
  </si>
  <si>
    <t>Egyéb működési célú átvett pénzeszközök</t>
  </si>
  <si>
    <t>Munkáltató kölcsön</t>
  </si>
  <si>
    <t>Munkáltatói kölcsön</t>
  </si>
  <si>
    <t>Állami és önkormányzati adatbázisok használati, továbbvezetési, karbantartási és szolgáltatási díja</t>
  </si>
  <si>
    <t>Működési kiadások</t>
  </si>
  <si>
    <t>Tartalékok össszesen</t>
  </si>
  <si>
    <t>Gyöngyöshermán-Szentkirályi Polgári Kör</t>
  </si>
  <si>
    <t>Herényi Kulturális és Sportegyesület</t>
  </si>
  <si>
    <t>Petőfi Telepért Egyesület</t>
  </si>
  <si>
    <t>Vásárok, rendezvények, karácsonyi díszkivilágítás</t>
  </si>
  <si>
    <t xml:space="preserve">Önkormányzati oktatási kiadások összesen </t>
  </si>
  <si>
    <t>Egyéb feladatok</t>
  </si>
  <si>
    <t>Kátyúkár - önerő biztosítása</t>
  </si>
  <si>
    <t>EGYÉB MŰKÖDÉSI CÉLÚ TÁMOGATÁSOK BEVÉTELEI ÁLLAMHÁZTARTÁSON BELÜLRŐL</t>
  </si>
  <si>
    <t>ELVONÁSOK ÉS BEFIZETÉSEK BEVÉTELEI</t>
  </si>
  <si>
    <t>Víziközmű és szennyvízközmű használati díjbevételhez kapcsolódó áfa visszaigénylés</t>
  </si>
  <si>
    <t>Működési célú költségvetési támogatások és kiegészítő támogatások</t>
  </si>
  <si>
    <t>Köztemetés költségeinek megtérítése</t>
  </si>
  <si>
    <t>Működési bevételek</t>
  </si>
  <si>
    <t>Oktatási ágazat kiadásai</t>
  </si>
  <si>
    <t>Szociális ágazat kiadásai</t>
  </si>
  <si>
    <t>Egészségügyi ágazat kiadásai</t>
  </si>
  <si>
    <t>Arany János ösztöndíj</t>
  </si>
  <si>
    <t>Capella Savaria</t>
  </si>
  <si>
    <t>Ferrum Színházi Társulat</t>
  </si>
  <si>
    <t>FELHALMOZÁSI BEVÉTELEK</t>
  </si>
  <si>
    <t>FELHALMOZÁSI BEVÉTELEK ÖSSZESEN</t>
  </si>
  <si>
    <t>FELHALMZÁSI CÉLÚ TÁMOGATÁSOK ÁLLAMHÁZTARTÁSON BELÜLRŐL</t>
  </si>
  <si>
    <t>KÖLTSÉGVETÉSI SZERVEK MŰKÖDÉSI BEVÉTELEI</t>
  </si>
  <si>
    <t>KÖLTSÉGVETÉSI SZERVEK MŰKÖDÉSI BEVÉTELEI ÖSSZESEN</t>
  </si>
  <si>
    <t>KÖLTSÉGVETÉSI SZERVEK FELHALMOZÁSI BEVÉTELEI ÖSSZESEN</t>
  </si>
  <si>
    <t>FELHALMZÁSI CÉLÚ TÁMOGATÁSOK ÁLLAMHÁZTARTÁSON BELÜLRŐL ÖSSZESEN</t>
  </si>
  <si>
    <t>FELHALMOZÁSI CÉLÚ ÁTVETT PÉNZESZKÖZÖK</t>
  </si>
  <si>
    <t>FELHALMOZÁSI CÉLÚ ÁTVETT PÉNZESZKÖZÖK ÖSSZESEN</t>
  </si>
  <si>
    <t>Felhalmozási bevételek</t>
  </si>
  <si>
    <t>Felhalmozási célú támogatások államháztartáson belülről</t>
  </si>
  <si>
    <t>Felhalmozási célú átvett péneszközök</t>
  </si>
  <si>
    <t>FELHALMOZÁSI KIADÁSOK</t>
  </si>
  <si>
    <t xml:space="preserve">" Szombathely visszavár" ösztöndíjrendszer </t>
  </si>
  <si>
    <t>Pálos K. Szociális Szolgáltató Központ és Gyermekjóléti Szolgálat</t>
  </si>
  <si>
    <t>Kötelező feladat</t>
  </si>
  <si>
    <t>Nem kötelező feladat</t>
  </si>
  <si>
    <t>Csaba úti felüljáró fenntartása, karbantartása</t>
  </si>
  <si>
    <t>Burkolati jelek festése</t>
  </si>
  <si>
    <t xml:space="preserve">Egészségügyi civil szervezetek támogatása </t>
  </si>
  <si>
    <t>Helyiségek és lakások bérleti díja</t>
  </si>
  <si>
    <t>Földhaszonbérlet</t>
  </si>
  <si>
    <t xml:space="preserve">Polgárőr szervezetek támogatása </t>
  </si>
  <si>
    <t>Felhalmozási kiadások</t>
  </si>
  <si>
    <t>Szombathelyi Köznevelési Gamesz</t>
  </si>
  <si>
    <t>Áfa visszaigénylés</t>
  </si>
  <si>
    <t>Folyékony hulladékgyűjtés</t>
  </si>
  <si>
    <t>Költségvetési szervek működési bevételei</t>
  </si>
  <si>
    <t>Költségvetési szervek felhalmozási bevételei</t>
  </si>
  <si>
    <t>Víziközmű és szennyvízközmű használati díjbevétel</t>
  </si>
  <si>
    <t>Jelzőtáblák (forgalmi rend változás)</t>
  </si>
  <si>
    <t>Zárt csapadék csatorna fenntartása</t>
  </si>
  <si>
    <t>Savaria Szimfonikus Zenekar összesen</t>
  </si>
  <si>
    <t xml:space="preserve">Kommunális, városüzemeltetési és környezetvédelmi kiadások  </t>
  </si>
  <si>
    <t>Kommunális és városüzemeltetési kiadások összesen</t>
  </si>
  <si>
    <t>Környezetvédelmi kiadások</t>
  </si>
  <si>
    <t>Kommunális, városüzemeltetési és környezetvédelmi kiadások</t>
  </si>
  <si>
    <t>Esőemberke Alapítvány támogatása</t>
  </si>
  <si>
    <t>Működési célú nagyprojektek, projektek</t>
  </si>
  <si>
    <t>Éves hídvizsgálat</t>
  </si>
  <si>
    <t>Működési célú maradvány</t>
  </si>
  <si>
    <t>Mesebolt Bábszínház</t>
  </si>
  <si>
    <t>Mesebolt Bábszínház összesen</t>
  </si>
  <si>
    <t>MŰKÖDÉSI CÉLÚ TÁMOGATÁSOK ÁLLAMHÁZTARTÁSON BELÜLRŐL</t>
  </si>
  <si>
    <t>MŰKÖDÉSI CÉLÚ ÁTVETT PÉNZESZKÖZÖK</t>
  </si>
  <si>
    <t>KÖZHATALMI BEVÉTELEK</t>
  </si>
  <si>
    <t>Út-híd fenntartási kiadások</t>
  </si>
  <si>
    <t>KÖLTSÉGVETÉSI SZERVEK BEVÉTELEI</t>
  </si>
  <si>
    <t>MŰKÖDÉSI BEVÉTELEK ÖSSZESEN</t>
  </si>
  <si>
    <t>Költségvetési működési bevételek</t>
  </si>
  <si>
    <t>Működési célú támogatások ÁH-on belülről</t>
  </si>
  <si>
    <t>Működési célú átvett pénzeszközök</t>
  </si>
  <si>
    <t>Berzsenyi Dániel Könyvtár összesen</t>
  </si>
  <si>
    <t xml:space="preserve">Savaria Múzeum </t>
  </si>
  <si>
    <t>Versenyek, rendezvények, támogatások</t>
  </si>
  <si>
    <t>Önkormányzati napközis tábor megszervezése</t>
  </si>
  <si>
    <t>Bérleti díj</t>
  </si>
  <si>
    <t>Szolgalmi joggal terhelt épületrész karbantartása</t>
  </si>
  <si>
    <t>Városfejlesztési alap</t>
  </si>
  <si>
    <t>Egyéb, más ágazathoz nem sorolható intézmények összesen</t>
  </si>
  <si>
    <t>Önkormányzati egyéb, más ágazathoz nem sorolható kiadások összesen</t>
  </si>
  <si>
    <t xml:space="preserve">  Kiadások és finanszírozási műveletek összesen</t>
  </si>
  <si>
    <t>Finanszírozási műveletek összesen</t>
  </si>
  <si>
    <t>Rendőrség támogatása</t>
  </si>
  <si>
    <t>Egyéb, más ágazathoz nem sorolható intézmények és feladatok kiadásai</t>
  </si>
  <si>
    <t>Nemzetiségi Önkormányzatok támogatása</t>
  </si>
  <si>
    <t>Integrált pénzügyi rendszer üzemeltetés az intézményekben</t>
  </si>
  <si>
    <t xml:space="preserve">Felhalmozási célú maradvány </t>
  </si>
  <si>
    <t>Költségvetési szervek beruházásai és felújításai összesen:</t>
  </si>
  <si>
    <t>ISIS Big Band támogatása</t>
  </si>
  <si>
    <t>Parkolásgazdálkodási kiadás</t>
  </si>
  <si>
    <t>Vagyongazdálkodásból származó bevétel</t>
  </si>
  <si>
    <t>Pénzeszközátadás</t>
  </si>
  <si>
    <t>Munkáltatói kölcsön visszatérülése</t>
  </si>
  <si>
    <t xml:space="preserve"> Működési célú bevételek összesen :</t>
  </si>
  <si>
    <t>Petz ösztöndíj</t>
  </si>
  <si>
    <t>Felhalmozási célú bevételek</t>
  </si>
  <si>
    <t>Ungaresca Táncegyüttes</t>
  </si>
  <si>
    <t>Polgármesteri keret</t>
  </si>
  <si>
    <t>Általános tartalék</t>
  </si>
  <si>
    <t>Egészség-hét</t>
  </si>
  <si>
    <t>Lakásalap összesen:</t>
  </si>
  <si>
    <t>Vagyongazdálkodás összesen</t>
  </si>
  <si>
    <t>Beruházások</t>
  </si>
  <si>
    <t>Szombathelyi Hospice Alapítvány</t>
  </si>
  <si>
    <t>Egészségügyi ágazat</t>
  </si>
  <si>
    <t>Vásárcsarnok</t>
  </si>
  <si>
    <t>Útigénybevételi díj</t>
  </si>
  <si>
    <t>Finanszírozási műveletek</t>
  </si>
  <si>
    <t xml:space="preserve">  Bevételek és finanszírozási műveletek összesen</t>
  </si>
  <si>
    <t>Szociális ágazat</t>
  </si>
  <si>
    <t xml:space="preserve">Önkormányzat </t>
  </si>
  <si>
    <t>Savaria Múzeum összesen</t>
  </si>
  <si>
    <t>Horvát nemzetiségi nap támogatás</t>
  </si>
  <si>
    <t>Közterület foglalás</t>
  </si>
  <si>
    <t xml:space="preserve"> Működési célú kiadások összesen :</t>
  </si>
  <si>
    <t xml:space="preserve">      Felhalmozási célú bevételek összesen :</t>
  </si>
  <si>
    <t xml:space="preserve">      Felhalmozási célú kiadások összesen :</t>
  </si>
  <si>
    <t>Sport</t>
  </si>
  <si>
    <t>Pénzeszközátadás összesen:</t>
  </si>
  <si>
    <t>Költségvetési szervek beruházásai és felújításai</t>
  </si>
  <si>
    <t>Megnevezés</t>
  </si>
  <si>
    <t>Épitményadó</t>
  </si>
  <si>
    <t xml:space="preserve">Önkormányzati felhalmozási kiadások </t>
  </si>
  <si>
    <t>Intézményi felhalmozási kiadások</t>
  </si>
  <si>
    <t>Intézményi felhalmozási kiadások össszesen</t>
  </si>
  <si>
    <t>Önkormányzati felhalmozási kiadások össszesen</t>
  </si>
  <si>
    <t>MŰKÖDÉSI CÉLÚ ÁTVETT PÉNZESZKÖZÖK ÖSSZESEN</t>
  </si>
  <si>
    <t>KÖZHATALMI BEVÉTELEK ÖSSZESEN</t>
  </si>
  <si>
    <t xml:space="preserve">Közlekedés, útépítés, közvilágítás, hídfelújítás </t>
  </si>
  <si>
    <t>Közművesítés</t>
  </si>
  <si>
    <t>Egyéb beruházások</t>
  </si>
  <si>
    <t>Lakásalap</t>
  </si>
  <si>
    <t>1.</t>
  </si>
  <si>
    <t>2.</t>
  </si>
  <si>
    <t>3.</t>
  </si>
  <si>
    <t>4.</t>
  </si>
  <si>
    <t>Vagyongazdálkodás</t>
  </si>
  <si>
    <t>5.</t>
  </si>
  <si>
    <t>6.</t>
  </si>
  <si>
    <t>7.</t>
  </si>
  <si>
    <t>8.</t>
  </si>
  <si>
    <t xml:space="preserve">Technikai, bevétellel 100%-ig fedezett tételek </t>
  </si>
  <si>
    <t>Kiszámlázott és befizetendő áfa</t>
  </si>
  <si>
    <t>Helyreállítások (teljes pályaszerkezet csere)</t>
  </si>
  <si>
    <t>Járdafenntartás</t>
  </si>
  <si>
    <t>Óvodák</t>
  </si>
  <si>
    <t>Közhatalmi bevételek</t>
  </si>
  <si>
    <t xml:space="preserve">Háziorvosi rendelők karbantartása </t>
  </si>
  <si>
    <t>Szökőkutak előre nem látható hibaelhárítása</t>
  </si>
  <si>
    <t>Helyi iparűzési adó</t>
  </si>
  <si>
    <t>Egyéb működési célú bevétel</t>
  </si>
  <si>
    <t>összesen</t>
  </si>
  <si>
    <t>Út-híd fenntartás</t>
  </si>
  <si>
    <t>Szombathelyi Egészségügyi és Kulturális Intézmények GESZ</t>
  </si>
  <si>
    <t>Önkormányzati konferenciák, rendezvények, fogadások</t>
  </si>
  <si>
    <t xml:space="preserve">     Beruházások  összesen</t>
  </si>
  <si>
    <t>Áfa befizetés (saját bevételből)</t>
  </si>
  <si>
    <t>Intézményi vagyonbiztosítások</t>
  </si>
  <si>
    <t>Oktatási intézmények összesen:</t>
  </si>
  <si>
    <t>Szombathelyi Civil Kerekasztal támogatása</t>
  </si>
  <si>
    <t>Vas megye és Szombathely Megyei Jogú Város Nyugdíjas Közösségeinek Szövetsége támogatása</t>
  </si>
  <si>
    <t>Szombathely Város Fúvószenekar támogatása</t>
  </si>
  <si>
    <t xml:space="preserve">Oktatási ágazat </t>
  </si>
  <si>
    <t>Lakás és helyiségüzemeltetés (bevétellel)</t>
  </si>
  <si>
    <t xml:space="preserve">Egyéb tagdijak </t>
  </si>
  <si>
    <t xml:space="preserve">Egyéb önkormányzati kitüntetések </t>
  </si>
  <si>
    <t xml:space="preserve"> összesen</t>
  </si>
  <si>
    <t>BEVÉTELEK</t>
  </si>
  <si>
    <t>ezer forintban</t>
  </si>
  <si>
    <t>Savaria Történelmi Karnevál Közhasznú Közalapítvány működési támogatása</t>
  </si>
  <si>
    <t>március</t>
  </si>
  <si>
    <t>április</t>
  </si>
  <si>
    <t>május</t>
  </si>
  <si>
    <t>szeptember</t>
  </si>
  <si>
    <t>Egyéb kiadások</t>
  </si>
  <si>
    <t>október</t>
  </si>
  <si>
    <t>Szombathely Megyei Jogú Város Önkormányzata</t>
  </si>
  <si>
    <t>9.</t>
  </si>
  <si>
    <t>10.</t>
  </si>
  <si>
    <t>11.</t>
  </si>
  <si>
    <t>12.</t>
  </si>
  <si>
    <t>Közterület-felügyelet átjátszó bérleti díj</t>
  </si>
  <si>
    <t>Víznyelők tisztítása</t>
  </si>
  <si>
    <t>Mindösszesen</t>
  </si>
  <si>
    <t>bevételek</t>
  </si>
  <si>
    <t>hónap</t>
  </si>
  <si>
    <t>Működési bevételek összesen</t>
  </si>
  <si>
    <t>Felhalmozási bevételek összesen</t>
  </si>
  <si>
    <t>KÖLTSÉGVETÉSI BEVÉTELEK ÖSSZESEN</t>
  </si>
  <si>
    <t>Finanszírozási bevételek</t>
  </si>
  <si>
    <t>MINDÖSSZESEN BEVÉTELEK</t>
  </si>
  <si>
    <t>KIADÁSOK</t>
  </si>
  <si>
    <t>kiadások</t>
  </si>
  <si>
    <t>Működési kiadások összesen</t>
  </si>
  <si>
    <t>Felhalmozási kiadások összesen</t>
  </si>
  <si>
    <t>KÖLTSÉGVETÉSI KIADÁSOK ÖSSZESEN</t>
  </si>
  <si>
    <t>Finanszírozási kiadások</t>
  </si>
  <si>
    <t>MINDÖSSZESEN KIADÁSOK</t>
  </si>
  <si>
    <t>pénzfogalmi bevételek</t>
  </si>
  <si>
    <t>pénzfogalmi kiadások</t>
  </si>
  <si>
    <t>időszaki pénzkészlet</t>
  </si>
  <si>
    <t>január</t>
  </si>
  <si>
    <t>február</t>
  </si>
  <si>
    <t>június</t>
  </si>
  <si>
    <t>július</t>
  </si>
  <si>
    <t>augusztus</t>
  </si>
  <si>
    <t>november</t>
  </si>
  <si>
    <t>december</t>
  </si>
  <si>
    <t>Egészségügyi és Kulturális intézmények GESZ</t>
  </si>
  <si>
    <t>Működési célú támogatások államháztartáson belülről</t>
  </si>
  <si>
    <t>Személyi juttatások</t>
  </si>
  <si>
    <t>Munkaadókat terhelő járulékok és szociális hozzájárulási adó</t>
  </si>
  <si>
    <t>Dologi kiadások</t>
  </si>
  <si>
    <t>Ellátottak pénzbeli juttatásai</t>
  </si>
  <si>
    <t>Felújítások</t>
  </si>
  <si>
    <t>Felhalmozási célú átvett pénzeszközök</t>
  </si>
  <si>
    <t>Egyéb felhalmozási célú kiadások</t>
  </si>
  <si>
    <t>Környezetállapot értékelés (talaj, víz, levegő)</t>
  </si>
  <si>
    <t>Lakás és helyiségüzemeltetés veszteségpótlás</t>
  </si>
  <si>
    <t>Szünidei gyermekétkeztetés</t>
  </si>
  <si>
    <t xml:space="preserve">Egészségügyi dolgozók kitüntetése </t>
  </si>
  <si>
    <t xml:space="preserve">Kulturális kitüntetés díja, Év Civil Szervezete díja …. </t>
  </si>
  <si>
    <t>Gyermek és ifjúsági kitüntetések</t>
  </si>
  <si>
    <t>Szociális önkormányzati kitüntetések</t>
  </si>
  <si>
    <t>Intézményi működési maradvány</t>
  </si>
  <si>
    <t>Érzékenyítő programok - Helyi esélyegyenlőségi program keretében</t>
  </si>
  <si>
    <t>Elvonások és befizetések bevételei</t>
  </si>
  <si>
    <t>Működési célú költségvetési támogatások és kiegészítő támogatások össszesen</t>
  </si>
  <si>
    <t>Elszámolásból származó bevételek összesen</t>
  </si>
  <si>
    <t xml:space="preserve">Elszámolásból származó bevételek </t>
  </si>
  <si>
    <t>a.)</t>
  </si>
  <si>
    <t>b.)</t>
  </si>
  <si>
    <t>c.)</t>
  </si>
  <si>
    <t>MŰKÖDÉSI CÉLÚ TÁMOGATÁSOK ÁLLAMHÁZTARTÁSON BELÜLRŐL ÖSSZESEN (a.) + b.) + c.))</t>
  </si>
  <si>
    <t>Szombathelyi Kézilabda Klub és Akadémia támogatása</t>
  </si>
  <si>
    <t>Vízközmű- és szennyvízközmű használati díj terhére végzett beruházás</t>
  </si>
  <si>
    <t>Településrendezési terv felülvizsgálata</t>
  </si>
  <si>
    <t>II. Települési önkormányzatok egyes köznevelési feladatainak támogatása</t>
  </si>
  <si>
    <t>OKTATÁSI MŰKÖDÉSI CÉLÚ KIADÁSOK ÖSSZESEN</t>
  </si>
  <si>
    <t>OKTATÁSI FELHALMOZÁSI CÉLÚ KIADÁSOK ÖSSZESEN</t>
  </si>
  <si>
    <t>OKTATÁSI ÁGAZAT KIADÁSAI MINDÖSSZESEN</t>
  </si>
  <si>
    <t>Kulturális ágazat, média kiadásai</t>
  </si>
  <si>
    <t>Kulturális ágazat, média</t>
  </si>
  <si>
    <t>SZOCIÁLIS MŰKÖDÉSI CÉLÚ KIADÁSOK ÖSSZESEN</t>
  </si>
  <si>
    <t>SZOCIÁLIS ÁGAZAT KIADÁSAI MINDÖSSZESEN</t>
  </si>
  <si>
    <t>KULTURÁLIS ÁGAZAT, MÉDAI KIADÁSAI MINDÖSSZESEN</t>
  </si>
  <si>
    <t>EGÉSZSÉGÜGYI MŰKÖDÉSI CÉLÚ KIADÁSOK ÖSSZESEN</t>
  </si>
  <si>
    <t>EGÉSZSÉGÜGYI FELHALMOZÁSI CÉLÚ KIADÁSOK ÖSSZESEN</t>
  </si>
  <si>
    <t>EGÉSZSÉGÜGYI ÁGAZAT KIADÁSAI MINDÖSSZESEN</t>
  </si>
  <si>
    <t>GYERMEKVÉDELMI MŰKÖDÉSI CÉLÚ KIADÁSOK ÖSSZESEN</t>
  </si>
  <si>
    <t>GYERMEKVÉDELMI ÁGAZAT KIADÁSAI MINDÖSSZESEN</t>
  </si>
  <si>
    <t>Gyermekvédelmi ágazat kiadásai</t>
  </si>
  <si>
    <t>Gyermekvédelemi ágazat</t>
  </si>
  <si>
    <t>Egyéb más ágazathoz nem sorolható intézmények és feladatok</t>
  </si>
  <si>
    <t>EGYÉB, MÁS ÁGAZATHOZ NEM SOROLHATÓ INTÉZMÉNYEK ÉS FELADATOK FELHALMOZÁSI CÉLÚ KIADÁSAI ÖSSZESEN</t>
  </si>
  <si>
    <t>EGYÉB, MÁS ÁGAZATHOZ NEM SOROLHATÓ INTÉZMÉNYEK ÉS FELADATOK MŰKÖDÉSI CÉLÚ KIADÁSAI ÖSSZESEN</t>
  </si>
  <si>
    <t>EGYÉB, MÁS ÁGAZATHOZ NEM SOROLHATÓ INÉTZMÉNYEK ÉS FELADATOK KIADÁSAI MINDÖSSZESEN</t>
  </si>
  <si>
    <t>KOMMUNÁLIS, VÁROSÜZEMELTETÉSI ÉS KÖRNYEZETVÉDELMI KIADÁSOK MINDÖSSZESEN</t>
  </si>
  <si>
    <t>ÚT-HÍD FENNTARTÁSI KIADÁSOK MINDÖSSZESEN</t>
  </si>
  <si>
    <t>FELHALMOZÁSI CÉLÚ BEVÉTELEK MINDÖSSZESEN</t>
  </si>
  <si>
    <t>ÖNKORMÁNYZATI FELHALMOZÁSI KIADÁSOK MINDÖSSZESEN</t>
  </si>
  <si>
    <t>Kerékpárút fenntartás</t>
  </si>
  <si>
    <t>Nyílt árok tisztítás, árokrendezés (árvízvédelmi művek, berendezések, karbantartása)</t>
  </si>
  <si>
    <t>KULTURÁLIS INTÉZMÉNYEK FELHALMOZÁSI KIADÁSAI ÖSSZESEN</t>
  </si>
  <si>
    <t>Szent Márton Esélyegyenlőségi Támogatási Program</t>
  </si>
  <si>
    <t>KÖLTSÉGVETÉSI MŰKÖDÉSI BEVÉTELEK MINDÖSSZESEN</t>
  </si>
  <si>
    <t>Illegális hulladéklerakás</t>
  </si>
  <si>
    <t xml:space="preserve">Költségvetési </t>
  </si>
  <si>
    <t>Önkormányzat</t>
  </si>
  <si>
    <t>szervek bevételei</t>
  </si>
  <si>
    <t>szervek kiadásai</t>
  </si>
  <si>
    <t>Kiemelt előirányzatok átcsoportosítása számviteli változások miatt</t>
  </si>
  <si>
    <t>kiadásai</t>
  </si>
  <si>
    <t xml:space="preserve">KÖLTSÉGVETÉSI BEVÉTELEK </t>
  </si>
  <si>
    <t>KÖLTSÉGVETÉSI KIADÁSOK</t>
  </si>
  <si>
    <t>B1</t>
  </si>
  <si>
    <t>K1</t>
  </si>
  <si>
    <t>B3</t>
  </si>
  <si>
    <t>K2</t>
  </si>
  <si>
    <t>B4</t>
  </si>
  <si>
    <t>Működési bevétel</t>
  </si>
  <si>
    <t>K3</t>
  </si>
  <si>
    <t>B6</t>
  </si>
  <si>
    <t>K4</t>
  </si>
  <si>
    <t>K5</t>
  </si>
  <si>
    <t>Egyéb működési célú kiadások</t>
  </si>
  <si>
    <t>B2</t>
  </si>
  <si>
    <t>K6</t>
  </si>
  <si>
    <t>B5</t>
  </si>
  <si>
    <t>K7</t>
  </si>
  <si>
    <t>B7</t>
  </si>
  <si>
    <t>K8</t>
  </si>
  <si>
    <t>B8</t>
  </si>
  <si>
    <t>K9</t>
  </si>
  <si>
    <t>Joskar-Ola Alapítvány</t>
  </si>
  <si>
    <t>Vasi Honvéd Bajtársi Egyesület támogatása</t>
  </si>
  <si>
    <t>Kátyúzás</t>
  </si>
  <si>
    <t>Vásárok bevétele</t>
  </si>
  <si>
    <t xml:space="preserve">Berzsenyi Dániel Könyvtár </t>
  </si>
  <si>
    <t>Köznevelési feladatellátásra átadott vagyon ellenőrzése</t>
  </si>
  <si>
    <t>SZMJV Diákönkormányzat - rendezvények, programok, támogatások, egyéb kiadások</t>
  </si>
  <si>
    <t>eredeti előirányzat</t>
  </si>
  <si>
    <t>Olad Városrészért Egyesület</t>
  </si>
  <si>
    <t>Hátrányos Helyzetű Roma Fiatalokat Támogató Közhasznú Egyesület támogatása</t>
  </si>
  <si>
    <t>Térfigyelő kamerarendszer üzemeltetése és adatátviteli hálózat üzemeltetése</t>
  </si>
  <si>
    <t>Önkormányzati pavilonok tárolása, felújítása</t>
  </si>
  <si>
    <t>Önkormányzati tulajdonú területek kaszálása</t>
  </si>
  <si>
    <t>Vas Megyei Tudományos Ismeretterjesztő Egyesület támogatása - közművelődési megállapodás</t>
  </si>
  <si>
    <t>Savaria Városfejlesztési Nonprofit Kft. támogatása</t>
  </si>
  <si>
    <t>Óvoda intézményi karbantartás</t>
  </si>
  <si>
    <t>Egységes ügyiratkezelő szoftver az önkormányzat által müködtetett intézményekben</t>
  </si>
  <si>
    <t>ÖSSZESEN</t>
  </si>
  <si>
    <t>Vagyongazdálkodási kiadások (ingatlan kisajátítás, vásárlás)</t>
  </si>
  <si>
    <t>HÁROFIT Közhasznú Egyesület - közfoglalkoztatás támogatása</t>
  </si>
  <si>
    <t>módosított előirányzat</t>
  </si>
  <si>
    <t>ezer Ft-ban</t>
  </si>
  <si>
    <t>Közvilágítás pénzügyi lízing - kamat</t>
  </si>
  <si>
    <t>Közvilágítás díja</t>
  </si>
  <si>
    <t>Állatvédők Vasi Egyesülete és a Kutyamenhely Alapítvány által közösen működtetett állatmenhely fenntartási költségei, 1 fő alkalmazott bér és járulékainak költsége a Kutyamenhely Alapítvány részére</t>
  </si>
  <si>
    <t>Bursa Hungarica felsőoktatási ösztöndíj</t>
  </si>
  <si>
    <t>Köznevelési GAMESZ</t>
  </si>
  <si>
    <t xml:space="preserve">Közösségi Bérlakás Rendszer                               </t>
  </si>
  <si>
    <t>Kariatida tanulmányi támogatás rendszerének működtetése - "Szombathely Szent Márton városa" Gyebrovszki János Alapítvány</t>
  </si>
  <si>
    <t>"Szombathely Szent Márton városa " Gyebrovszki János Alapítvány támogatása</t>
  </si>
  <si>
    <t>Hatósági díjak, egyéb kiadások, szakértői feladatok</t>
  </si>
  <si>
    <t>Aktív időskor Szombathelyen program</t>
  </si>
  <si>
    <t>Tervezések hatósági díja lejáró engedélyekhez, egyéb díjak</t>
  </si>
  <si>
    <t>Szent Márton plasztik kártya készítés</t>
  </si>
  <si>
    <t>Háziorvosi életpálya modell</t>
  </si>
  <si>
    <t>Bankköltség</t>
  </si>
  <si>
    <t>Víz használati dij</t>
  </si>
  <si>
    <t>Bűnmegelőzési és katasztrófavédelmi kiadások</t>
  </si>
  <si>
    <t>Szombathely, a segítés városa program</t>
  </si>
  <si>
    <t>Padkarendezés</t>
  </si>
  <si>
    <t>Szegélyek javítása, akadálymentesítés</t>
  </si>
  <si>
    <t>Finanszírozási kiadás - közvilágítás pénzügyi lízing tőke</t>
  </si>
  <si>
    <t>Önkormányzati fenntartású Weöres Sándor Színház közös működtetési támogatása</t>
  </si>
  <si>
    <t>Önkormányzati fenntartású Mesebolt Bábszínház közös működtetési támogatása</t>
  </si>
  <si>
    <t>Önkormányzat egyéb kiadásai (Városüzemeltetési, vagyongazdálkodási kiadások)</t>
  </si>
  <si>
    <t>Cserkészház  - bérleti díj támogatás - Boldogulás Ösvényein Alapítvány részére</t>
  </si>
  <si>
    <t>Városi pedagógus nap, tanévnyitó ünnepség</t>
  </si>
  <si>
    <t>SZOVA Zrt. parkolásgazdálkodásból származó bevétel</t>
  </si>
  <si>
    <t>SZOVA Zrt. parkolásgazdálkodásból származó ÁFA visszatérülés</t>
  </si>
  <si>
    <t>Önkormányzati nagyrendezvények</t>
  </si>
  <si>
    <t>Sport nagyrendezvények</t>
  </si>
  <si>
    <t>Szent Márton Smartcity városkártya és portálrendszer üzemeltetése</t>
  </si>
  <si>
    <t>Felhalmozási tartalék</t>
  </si>
  <si>
    <t xml:space="preserve">Felhalmozási tartalék </t>
  </si>
  <si>
    <t>Felhalmozási tartalék összesen</t>
  </si>
  <si>
    <t>Köztemetés költségeinek megtérítése más önkormányzatoktól</t>
  </si>
  <si>
    <t>Közösségi Bérlakás Rendszer lakbér bevétele</t>
  </si>
  <si>
    <t xml:space="preserve">Ernuszt kripta felújításához felmérés és értékeltár készítés </t>
  </si>
  <si>
    <t>Egyéb sportcélú kiadások, támogatások</t>
  </si>
  <si>
    <t>Parkfenntartás - SZOMPARK Kft.</t>
  </si>
  <si>
    <t>Előző évi maradvány terhére teljesíthető működési célú projekt kiadások</t>
  </si>
  <si>
    <t>Előző évi maradvány terhére teljesíthető felhalmozási célú projekt kiadások</t>
  </si>
  <si>
    <t xml:space="preserve">Pedagógus kitüntetések </t>
  </si>
  <si>
    <t>Közösségi közlekedés (buszmegállók kialakítása, leszálló szigetek helyreállítása, kialakítás)</t>
  </si>
  <si>
    <t xml:space="preserve">KISZ Lakótelepért Egyesület </t>
  </si>
  <si>
    <t xml:space="preserve">SZOMBATHELY MEGYEI JOGÚ VÁROS ÖNKORMÁNYZATÁNAK  PÉNZÜGYI  MÉRLEGE        </t>
  </si>
  <si>
    <t xml:space="preserve">III. </t>
  </si>
  <si>
    <t xml:space="preserve">IV. </t>
  </si>
  <si>
    <t>Települési önkormányzatok gyermekétkeztetési  feladatainak támogatása</t>
  </si>
  <si>
    <t>V. Települési önkormányzatok kulturális feladatainak támogatása</t>
  </si>
  <si>
    <t>ÖSSZESEN (I.+II.+III.+IV.+V.)</t>
  </si>
  <si>
    <t>Zeneművészeti szervek támogatása - Savaria Szimfónikus zenekar központi támogatása</t>
  </si>
  <si>
    <t>Helyi önkormányzatok kiegészítő támogatásai összesen</t>
  </si>
  <si>
    <t>VOLÁNBUSZ  Zrt. - megállapodás alapján helyközi autóbuszjáratok helyi tarifával történő igénybevétele-Szombathely, Petőfi telep</t>
  </si>
  <si>
    <t>Helyi önkormányzatok kiegészítő támogatásai</t>
  </si>
  <si>
    <t>Települési önkormányzatok kulturális feladatainak támogatásai összesen</t>
  </si>
  <si>
    <t>Települési önkormányzatok kulturális feladatainak támogatása</t>
  </si>
  <si>
    <t>Települési önkormányzatok egyes szociális és gyermekjóléti feladatainak támogatása</t>
  </si>
  <si>
    <t>Szociális ágazati összevont pótlék</t>
  </si>
  <si>
    <t>Központi költségvetés részére visszafizetési kötelezettség</t>
  </si>
  <si>
    <t>Közszolgáltatási szerződés helyi közlekedés</t>
  </si>
  <si>
    <t>Zanati Kulturális Egyesület</t>
  </si>
  <si>
    <t>Óvodai ellátó rendszerben prognosztizált munkaerő-hiány kezelése</t>
  </si>
  <si>
    <t>Szociális és köznevelési intézmények év végi karácsonyi ajándékozás és rászoruló kiskorú gyermekeket nevelő családok év végi karácsonyi ajándékozása</t>
  </si>
  <si>
    <t>Szombathelyi Neumann J.Ált.Isk.területén 3 db műfüves labdarúgó pálya éves karbantartás</t>
  </si>
  <si>
    <t>JUSTNature projekt</t>
  </si>
  <si>
    <t>Savaria Városfejlesztési Kft. - tagi kölcsön visszatérülése</t>
  </si>
  <si>
    <t>Egyéb kulturális rendezvények</t>
  </si>
  <si>
    <t>Egyéb lakásgazdálkodási és szociális kiadások</t>
  </si>
  <si>
    <t>Szombathelyi Szabadidősport rendezvények</t>
  </si>
  <si>
    <t>Évközi tervezések, útfelújítás tervezések, egyéb tervezések</t>
  </si>
  <si>
    <t>Állatvédők Vasi Egyesülete működési támogatás</t>
  </si>
  <si>
    <t xml:space="preserve">Vas megyei Szakképzési Centrum működési hozzájárulás </t>
  </si>
  <si>
    <t>Nemzetközi kapcsolatok</t>
  </si>
  <si>
    <t>Lelkisegély szolgálat támogatása (szerződés) - Telehumanitas Szombathelyi Mentálhigiénés Egyesület</t>
  </si>
  <si>
    <t xml:space="preserve">Szombathelyi Nemzetiségi nap </t>
  </si>
  <si>
    <t>Laktanya terület út építési kötelezettség</t>
  </si>
  <si>
    <t>Veszélyhelyzet ideje alatt a szomszédos országban fennálló humanitárius katasztrófára tekintettel érkező személyek elhelyezésének támogatása</t>
  </si>
  <si>
    <t>Vásárokhoz kapcsolódó közterület foglalási díjbevétel</t>
  </si>
  <si>
    <t>Országos tanulmányi versenyeken eredményesen szereplő diákok és tanáraik jutalmazása</t>
  </si>
  <si>
    <t>Fogyatékkal Élőket és Hajléktalanokat Ellátó Nkft. támogatása (célja: tüzifa vásárlás)</t>
  </si>
  <si>
    <t>Veszélyhelyzet ideje alatt a szomszédos országban fennálló humanitárius katasztrófára tekintettel érkező személyek elhelyezésének támogatása (központi támogatásból)</t>
  </si>
  <si>
    <t>Savaria Karnevál megrendezése, kulturális rendezvények, fesztiválok megrendezése (Savaria Turizmus Nkft., egyéb kiadások, stb.)</t>
  </si>
  <si>
    <t>Bűnmegelőzési és katasztrófavédelmi kiadások; egyéb kiadások, támogatások</t>
  </si>
  <si>
    <t>Csapadékvíz elvezetés (üzemeltetés)</t>
  </si>
  <si>
    <t>RRF-1.1.2-21-2021-0007 Demográfiai és köznevelési bölcsődei nevelés fejlesztése - Új bölcsőde építése Szombathely Szentkirályi városrészen</t>
  </si>
  <si>
    <t>Erdei iskola utcai csapadékcsatorna építése</t>
  </si>
  <si>
    <t>Északi iparterület - közművesítések finanszírozása, fejlesztések finanszírozása, tanulmányterv készítése</t>
  </si>
  <si>
    <t>Fogyatékkal Élőket és Hajléktalanokat Ellátó Nkft. támogatása</t>
  </si>
  <si>
    <t xml:space="preserve">Vasi Tekesportért Alapítvány </t>
  </si>
  <si>
    <t>Fáklyavívők Egyesülete támogatás - Szombathelyi Alkotótábor megrendezése</t>
  </si>
  <si>
    <t>Könyvkiadás</t>
  </si>
  <si>
    <t>Erdő és vadgazdálkodási költség</t>
  </si>
  <si>
    <t>SZOVA, Szompark, AGORA, Turizmus Kft, Sportközpont Kft közös raktározás</t>
  </si>
  <si>
    <t>Fonyódi gyermektábor</t>
  </si>
  <si>
    <t>Csatorna fedél javítások</t>
  </si>
  <si>
    <t>TOP Plusz 1.3.1.-00001 Fenntartható városfejlesztés</t>
  </si>
  <si>
    <t>INTERREG Europe OD4GROWTH pályázat</t>
  </si>
  <si>
    <t xml:space="preserve">Identitás program </t>
  </si>
  <si>
    <t xml:space="preserve">INTERREG Europe OD4GROWTH pályázat </t>
  </si>
  <si>
    <t>Ekata rendszer havi díj</t>
  </si>
  <si>
    <t>VDKSZ  működtetés</t>
  </si>
  <si>
    <t>Szombathelypont működtetés</t>
  </si>
  <si>
    <t>Szociális térkép</t>
  </si>
  <si>
    <t>Egyéb rendezvények</t>
  </si>
  <si>
    <t>2024. évi útfelújítási program</t>
  </si>
  <si>
    <t>Savaria Múzeum</t>
  </si>
  <si>
    <t xml:space="preserve">1000 fa program </t>
  </si>
  <si>
    <t>Fenntarthatósági és klímapolitikai célok megvalósulása</t>
  </si>
  <si>
    <t>Jelzőlámpák üzemeltetése és cseréje</t>
  </si>
  <si>
    <t>Közvilágítási elemek karbantartása, kiegészítése</t>
  </si>
  <si>
    <t>Szombathelyi Egyházmegyei Karitász - Hársfa-ház Pszichiátriai- és Szenvedélybetegek Nappali Ellátója és Átmeneti Otthona, RÉV Szenvedélybeteg-segítő Szolgálat és Közösségi Gondozó</t>
  </si>
  <si>
    <t>Projektek - önerő, hozzájárulás, előkészítés, egyéb beruházási feladatok</t>
  </si>
  <si>
    <t>Vas Vármegyei Markusovszky Egyetemi Oktatókórház (parkoló bérlet díj támogatás)</t>
  </si>
  <si>
    <t xml:space="preserve">Szombathelyi Szépítő Egyesület támogatása </t>
  </si>
  <si>
    <t>Japán nap támogatása</t>
  </si>
  <si>
    <t xml:space="preserve">City-to-City Exchanges (Városok közötti csereprogram) projekt </t>
  </si>
  <si>
    <t>Működési célú maradvány - projektekhez</t>
  </si>
  <si>
    <t>Felhalmozási célú maradvány - projektekhez</t>
  </si>
  <si>
    <t xml:space="preserve">Segély önkormányzati támogatásból </t>
  </si>
  <si>
    <t>Vas Vármegyei Katasztrófavédelmi Igazgatóság - Tűzoltóság támogatása</t>
  </si>
  <si>
    <t>Pálos Károly Szociális Szolgáltató Központ és Gyermekjóléti Szolgálat</t>
  </si>
  <si>
    <t>Szombathelyi Egyesített Bölcsődei Intézmény</t>
  </si>
  <si>
    <t>Szombathely Városi Vásárcsarnok</t>
  </si>
  <si>
    <t>Fekete István Állatvédő Egyesület támogatása</t>
  </si>
  <si>
    <r>
      <t>Weöres Sándor Színház Nkft.</t>
    </r>
    <r>
      <rPr>
        <b/>
        <i/>
        <sz val="12"/>
        <rFont val="Calibri"/>
        <family val="2"/>
        <charset val="238"/>
      </rPr>
      <t xml:space="preserve"> önkormányzati támogatása</t>
    </r>
  </si>
  <si>
    <t>Weöres Sándor Színház Nkft. összesen</t>
  </si>
  <si>
    <r>
      <t xml:space="preserve">Önkormányzati fenntartású Weöres Sándor Színház Nkft. </t>
    </r>
    <r>
      <rPr>
        <i/>
        <sz val="12"/>
        <rFont val="Calibri"/>
        <family val="2"/>
        <charset val="238"/>
      </rPr>
      <t>közös működtetési támogatása</t>
    </r>
  </si>
  <si>
    <t xml:space="preserve">1. Városi kulturális intézmények </t>
  </si>
  <si>
    <t>2. Önkormányzati gazdasági társaságok</t>
  </si>
  <si>
    <t xml:space="preserve">Savaria Turizmus Nkft  támogatása </t>
  </si>
  <si>
    <t>2. Önkormányzati gazdasági társaságok összesen</t>
  </si>
  <si>
    <t>I. VÁROSI KULTURÁLIS INTÉZMÉNYEK ÉS ÖNKORMÁNYZATI GAZDASÁGI TÁRSASÁGOK MINDÖSSZESEN (1+2)</t>
  </si>
  <si>
    <t>ÖNKORMÁNYZATI KULTURÁLIS KIADÁSOK</t>
  </si>
  <si>
    <t>3. Kulturális és civil szervezetek támogatása</t>
  </si>
  <si>
    <t>3. Kulturális és civil szervezetek támogatása összesen</t>
  </si>
  <si>
    <t>4. Kulturális és civil alap</t>
  </si>
  <si>
    <t>II. KULTURÁLIS ÉS CIVIL SZERVEZETEK TÁMOGATÁSA ÉS KULTURÁLIS ÉS CIVIL ALAP MINDÖSSZESEN (3+4)</t>
  </si>
  <si>
    <t>5. Városi nagyrendezvények</t>
  </si>
  <si>
    <t>6. Egyéb kulturális rendezvények, programok</t>
  </si>
  <si>
    <t>6. Egyéb kulturális rendezvények, programok összesen</t>
  </si>
  <si>
    <t>III. KULTURÁLIS RENDEZVÉNYEK MINDÖSSZESEN (5+6)</t>
  </si>
  <si>
    <t>EGYÉB KULTURÁLIS KIADÁSOK</t>
  </si>
  <si>
    <t>V. ÖNKORMÁNYZATI KULTURÁLIS KIADÁSOK MINDÖSSZESEN (II+III+IV)</t>
  </si>
  <si>
    <t>VI. KULTURÁLIS ÁGAZAT MŰKÖDÉSI CÉLÚ KIADÁSOK MINDÖSSZESEN (I+V)</t>
  </si>
  <si>
    <t xml:space="preserve">Nyugat-dunántúli Regionális Hulladékgazdálkodási Önkormányzati Társulástól támogatás </t>
  </si>
  <si>
    <t>JustClimate projekt</t>
  </si>
  <si>
    <t>Interreg CE Program - Green LaMiS projekt</t>
  </si>
  <si>
    <t>Megyei Jogú Városok Szövetsége támogatás</t>
  </si>
  <si>
    <t>Nyugat-dunántúli Regionális Hulladékgazdálkodási Önkormányzati Társulás működési hozzájárulás</t>
  </si>
  <si>
    <t>Fenntartható Energia és Klímavédelmi Cselekvési Terv felülvizsgálata (SECAP)</t>
  </si>
  <si>
    <t>Vízközmű- és szennyvízközmű beruházáshoz kapcsolódóan - gördülő fejlesztési tervmódosítás költségei</t>
  </si>
  <si>
    <t>Zanati városrész útjainak felújításához (Áfonya u., Eper u., Korpás u., Fenyő u.) terület vásárlás, járda felújítás, csapadékvíz szikkasztó medence átalakítása, vízjogi és üzemeltetési engedélyek stb.</t>
  </si>
  <si>
    <t>Egyéb finanszírozási célú bevétel a 2025. évi költségvetési támogatási előleghez</t>
  </si>
  <si>
    <t>Egyéb finanszírozási célú kiadás - 2025.évi költségvetési támogatási előleg</t>
  </si>
  <si>
    <t>Szolidarítási hozzájárulás</t>
  </si>
  <si>
    <t xml:space="preserve">IV. EGYÉB KULTURÁLIS KIADÁSOK MINDÖSSSZESEN </t>
  </si>
  <si>
    <t>Magyar - magyar közösségi tevékenységek támogatása - Közös értékek találkozása Vajdahunyadon projekt</t>
  </si>
  <si>
    <t>CERV-2023-CITIZENS-TOWN-TT projekt - Testre szabott energia</t>
  </si>
  <si>
    <t>Horizon Europe WeGenerate ("Társ város") projekt</t>
  </si>
  <si>
    <t>Pécsi Tudományegyetem támogatás</t>
  </si>
  <si>
    <t xml:space="preserve">Mesebolt Bábszínház </t>
  </si>
  <si>
    <t xml:space="preserve">Savaria Szimfonikus Zenekar </t>
  </si>
  <si>
    <t>1. Városi kulturális intézmények működési kiadásai össezesen</t>
  </si>
  <si>
    <t>Akadálymentesítési koncepció - szakmérnöki vélemények</t>
  </si>
  <si>
    <t>AGORA Savaria Kulturális és Médiaközpont Nkft. támogatása</t>
  </si>
  <si>
    <r>
      <t>Szombathelyi Egészségügyi és Kulturális Intézmények GESZ</t>
    </r>
    <r>
      <rPr>
        <b/>
        <sz val="12"/>
        <rFont val="Calibri"/>
        <family val="2"/>
        <charset val="238"/>
      </rPr>
      <t xml:space="preserve"> </t>
    </r>
  </si>
  <si>
    <t xml:space="preserve">Szombathelyi Egyesített Bölcsődei Intézmény </t>
  </si>
  <si>
    <t>Önkormányzati szociális ágazati kiadások összesen</t>
  </si>
  <si>
    <t>Önkormányzati szociális ágazati kiadások</t>
  </si>
  <si>
    <t>Önkormányzati egyészségügyi ágazati kiadásai</t>
  </si>
  <si>
    <t>Önkormányzati egészségügyi ágazati kiadások összesen</t>
  </si>
  <si>
    <t>Önkormányzati gyermekvédelmi ágazati kiadások</t>
  </si>
  <si>
    <t>Önkormányzati gyermekvédelmi ágazati kiadások összesen</t>
  </si>
  <si>
    <t>JustNature projekt</t>
  </si>
  <si>
    <t>JustNature projekt-fordított ÁFA</t>
  </si>
  <si>
    <t>Sárdi-éri iparterületen megvalósuló útfejlesztéshez kapcsolódó ingatlan kisajátítás kiadásai</t>
  </si>
  <si>
    <t>Szombathelyi Szabadidősport Szövetség támogatása - Városi Kispályás Labdarúgó Bajnokság, Városi Tekebajnokság, Nyári lábtenisz bajnokság, Kispályás labdarúgó bajnokság</t>
  </si>
  <si>
    <t>Települési hulladékkezelés és köztisztasági tevékenység, síkosság mentesítés</t>
  </si>
  <si>
    <t>SPORT ÁGAZAT KIADÁSAI MINDÖSSZESEN</t>
  </si>
  <si>
    <t>Önkormányzati sport kitüntetések</t>
  </si>
  <si>
    <t>Szombathelyi Pingvinek Jégkorong Klub támogatása</t>
  </si>
  <si>
    <t>Szombathelyi  Asztalitenisz Klub támogatása - asztalitenisz csarnok éves bérleti díj finanszírozására</t>
  </si>
  <si>
    <t>Szombathelyi Vívó Akadémia Egyesület támogatása - vívócsarnok éves bérleti díj finanszírozására</t>
  </si>
  <si>
    <t>Szombathelyi Sportközpont és Sportiskola Nonprofit Kft. támogatása</t>
  </si>
  <si>
    <t>FALCO KC Kft. támogatása</t>
  </si>
  <si>
    <t>Gyermek és ifjúsági sport támogatása</t>
  </si>
  <si>
    <t>Sport ágazat kiadásai</t>
  </si>
  <si>
    <t>ELAMEN Zrt. bérleti díj</t>
  </si>
  <si>
    <t>Haladás 1919 Labdarúgó Kft. támogatása</t>
  </si>
  <si>
    <t xml:space="preserve">Söpte Önkormányzatának járó juttatás SZMJV önkormányzati területek után </t>
  </si>
  <si>
    <t>VASIVÍZ ZRt.- Szombathelyi Fedett Uszoda és Termálfürdő  működési támogatása</t>
  </si>
  <si>
    <t>Vármegyei hatókörű városi múzeumok feladatainak támogatása - Savaria Múzeum feladatainak támogatása</t>
  </si>
  <si>
    <t>Vármegyei hatókörű városi könyvtárak feladatainak támogatása - Berzsenyi Dániel könyvtár feladatainak támogatása</t>
  </si>
  <si>
    <t>Szombathely, Akacs M. u. 7. épület utáni bérleti díjbevétel</t>
  </si>
  <si>
    <t>Vármegyeszékhely megyei jogú városok kulturális feladatainak támogatása</t>
  </si>
  <si>
    <t>Vármegyei hatókörű városi könyvtár kistelepülési könyvtári célú kiegészítő támogatása</t>
  </si>
  <si>
    <t>iSi Automotive Hungary Kft. támogatása a 3H jelű autóbusz járat működtetéséhez</t>
  </si>
  <si>
    <t xml:space="preserve">Polgármesteri Hivatal épület felújítás I. ütem - balesetveszély elhárítása </t>
  </si>
  <si>
    <t>Bartók Béla körút híd cél és fővizsgálat</t>
  </si>
  <si>
    <t>Dobó SE támogatása</t>
  </si>
  <si>
    <t>Tartalék - városi cégek, intézmények, szolgáltatások működésére</t>
  </si>
  <si>
    <t xml:space="preserve">Derkovits Városrészért Kulturális és Szociális Egyesület </t>
  </si>
  <si>
    <t>Közlekedési infrastruktúra fejlesztése, fenntartása</t>
  </si>
  <si>
    <t>Önkormányzat működéséhez kapcsolódó, jogszabályon alapuló kiadások, egyéb kiadások</t>
  </si>
  <si>
    <t>Tartalék - a városi kistelepülési célú könyvtárakat megillető kiegészítő állami támogatás - kötött felhasználású támogatás a Berzsenyi D. könyvtár részére</t>
  </si>
  <si>
    <t xml:space="preserve">Tartalék - kulturális intézményekben és cégekben foglalkoztatottak jogszabály szerinti bérjellegű kiadásaira kapott állami támogatás tartaléka </t>
  </si>
  <si>
    <t>Bölcsődék karbantartási kiadásai, játszótéri eszközök beszerzése, cseréje</t>
  </si>
  <si>
    <t>Javasolt</t>
  </si>
  <si>
    <t>módosítás</t>
  </si>
  <si>
    <t xml:space="preserve">2025. évi I.sz. </t>
  </si>
  <si>
    <t xml:space="preserve">Javasolt </t>
  </si>
  <si>
    <t>2025. évi I.sz.</t>
  </si>
  <si>
    <t>Intranet alapú városi hálózat</t>
  </si>
  <si>
    <t>Pénzügyi megállapodás a MÁV Személyszállítási Zrt-vel - törlesztő részlet</t>
  </si>
  <si>
    <t>Pénzügyi megállapodás a MÁV Személyszállítási Zrt-vel - járulékos kiadások</t>
  </si>
  <si>
    <t>I. Települési önkormányzatok működésének általános támogatása</t>
  </si>
  <si>
    <t>Savaria Szimfónikus Zenekar</t>
  </si>
  <si>
    <t xml:space="preserve">2025. évi II. sz. módosított bevételei  kiemelt előirányzatonként </t>
  </si>
  <si>
    <t xml:space="preserve">2025. évi II. sz. módosított kiadásai kiemelt előirányzatonként </t>
  </si>
  <si>
    <t xml:space="preserve">2025. évi II.sz. </t>
  </si>
  <si>
    <t>2025. évi II.sz.</t>
  </si>
  <si>
    <t>2025. évi módosított</t>
  </si>
  <si>
    <t>Szombathely Megyei  Jogú Város Önkormányzata 2025. évi II. számú módosított előirányzat felhasználási terve</t>
  </si>
  <si>
    <t>Szombathely Megyei Jogú Város Önkormányzata 2025. évi II. számú módosítgott előirányzat felhasználási terve</t>
  </si>
  <si>
    <t>Települési önkormányzatok kulturális feladatainak bérjellegű támogatása a 682/2021. (XII.6.) korm.rend.-hez kapcsolódó 20% -  központi támogatás</t>
  </si>
  <si>
    <r>
      <t xml:space="preserve">Települési önkormányzatok kulturális feladatainak bérjellegű támogatása </t>
    </r>
    <r>
      <rPr>
        <sz val="12"/>
        <rFont val="Calibri"/>
        <family val="2"/>
        <charset val="238"/>
        <scheme val="minor"/>
      </rPr>
      <t>(681/2021.(XII.6.) korm.rend.szerinti 20% és minimálbér és garantált bérminimum emelés)</t>
    </r>
  </si>
  <si>
    <t>Interreg CE Program - Green LaMiS projekt - ERFA támogatás</t>
  </si>
  <si>
    <t>Környezetvédelmi kiadások összesen</t>
  </si>
  <si>
    <t>SZOCIÁLIS FELHALMOZÁSI CÉLÚ KIADÁSOK ÖSSZESEN</t>
  </si>
  <si>
    <r>
      <t>Szombathelyi Egészségügyi és Kulturális Intézmények GESZ</t>
    </r>
    <r>
      <rPr>
        <sz val="12"/>
        <rFont val="Calibri"/>
        <family val="2"/>
        <charset val="238"/>
      </rPr>
      <t xml:space="preserve"> </t>
    </r>
  </si>
  <si>
    <t>GYERMEKVÉDELMI FELHALMOZÁSI CÉLÚ KIADÁSOK ÖSSZESEN</t>
  </si>
  <si>
    <t>Felhalmozáci célú pénzeszköz átvétel az MVM Zrt-től a Kálvária utca közműkivigtelezés utáni helyreállítás céljából megállapodás alapján</t>
  </si>
  <si>
    <t>Kálvária utca közműkivigtelezés utáni helyreállítása megállapodás alapján</t>
  </si>
  <si>
    <t>Energiaügyi Minisztérium "Zöld óvoda" program támogatás (Mocorgó Óvoda)</t>
  </si>
  <si>
    <t>Viktória Football Club támogatása</t>
  </si>
  <si>
    <t>NetZeroCities Tanulóvárosi projekt</t>
  </si>
  <si>
    <t xml:space="preserve"> NetZeroCities Tanulóvárosi projekt</t>
  </si>
  <si>
    <t>HVSE támogatás</t>
  </si>
  <si>
    <t>Pénzeszközátadás Dob.u. felújításához</t>
  </si>
  <si>
    <t xml:space="preserve">INTERREG VI-A AT-HU program - Közös drogprevenciós képzési program kialakítása és megvalósítása az osztrák-magyar határtérségben  </t>
  </si>
  <si>
    <t>Hajdú utca burkolat javítás, felújítása</t>
  </si>
  <si>
    <t>Egységes ügyiratkezelő szoftver az önkormányzat által müködtetett intézményekben - fordított áfa kiadás</t>
  </si>
  <si>
    <t>Költségvetési szervek 2025. évi bevételei</t>
  </si>
  <si>
    <t xml:space="preserve">I N T É Z M É N Y                               </t>
  </si>
  <si>
    <t>Működési célú átvett  pénzeszközök</t>
  </si>
  <si>
    <t>Saját bevételek összesen</t>
  </si>
  <si>
    <t>Előző év költségvetési maradványának igénybevétele</t>
  </si>
  <si>
    <t xml:space="preserve">Központi irányítószervtől kapott támogatás </t>
  </si>
  <si>
    <t xml:space="preserve">     Költségvetési bevételek összesen</t>
  </si>
  <si>
    <t>2025.</t>
  </si>
  <si>
    <t>2025. évi I. sz. módosított előirányzat</t>
  </si>
  <si>
    <t>Javasolt módosítás</t>
  </si>
  <si>
    <t>2025. évi II. sz. módosított előirányzat</t>
  </si>
  <si>
    <t>Ó v o d á k</t>
  </si>
  <si>
    <t>Aréna Óvoda</t>
  </si>
  <si>
    <t>Barátság  Óvoda</t>
  </si>
  <si>
    <t xml:space="preserve">Pipitér Óvoda </t>
  </si>
  <si>
    <t xml:space="preserve">Hétszínvirág Óvoda </t>
  </si>
  <si>
    <t xml:space="preserve">Szivárvány Óvoda </t>
  </si>
  <si>
    <t xml:space="preserve">Donászy Magda Óvoda </t>
  </si>
  <si>
    <t xml:space="preserve">Mesevár Óvoda </t>
  </si>
  <si>
    <t xml:space="preserve">Mesevár Ovoda </t>
  </si>
  <si>
    <t xml:space="preserve">Játéksziget  Óvoda </t>
  </si>
  <si>
    <t>Kőrösi Csoma Sándor Utcai Óvoda</t>
  </si>
  <si>
    <t xml:space="preserve">Gazdag Erzsi Óvoda  </t>
  </si>
  <si>
    <t>Maros  Óvoda</t>
  </si>
  <si>
    <t>Vadvirág Óvoda</t>
  </si>
  <si>
    <t xml:space="preserve">Margaréta Óvoda  </t>
  </si>
  <si>
    <t>Napsugár  Óvoda</t>
  </si>
  <si>
    <t>Szűrcsapó Óvoda</t>
  </si>
  <si>
    <t xml:space="preserve">Mocorgó Óvoda </t>
  </si>
  <si>
    <t>Benczúr Gyula Utcai Óvoda</t>
  </si>
  <si>
    <t xml:space="preserve">Weöres Sándor  Óvoda </t>
  </si>
  <si>
    <t>Óvodák  összesen</t>
  </si>
  <si>
    <t>Szombathelyi Köznevelési GAMESZ</t>
  </si>
  <si>
    <t>Oktatási intézmények összesen</t>
  </si>
  <si>
    <t>Nem oktatási intézmények</t>
  </si>
  <si>
    <t>Kulturális intézmények</t>
  </si>
  <si>
    <t>Savaria Szimfonikus Zenekar</t>
  </si>
  <si>
    <t>Berzsenyi Dániel Könyvtár</t>
  </si>
  <si>
    <t xml:space="preserve">Összesen                             </t>
  </si>
  <si>
    <t>Szociális intézmény</t>
  </si>
  <si>
    <t>Egészségügyi intézmény</t>
  </si>
  <si>
    <t>Szombathelyi Egészségügyi és Kulturális GESZ</t>
  </si>
  <si>
    <t>Gyermekvédelmi intézmény</t>
  </si>
  <si>
    <t>Egyéb intézmények</t>
  </si>
  <si>
    <t xml:space="preserve">Összesen                                 </t>
  </si>
  <si>
    <t>Nem oktatási intézmények összesen</t>
  </si>
  <si>
    <t>Intézmények mindösszesen</t>
  </si>
  <si>
    <t>Költségvetési szervek 2025. évi kiadásai</t>
  </si>
  <si>
    <t>I N T É Z M É N Y</t>
  </si>
  <si>
    <t>Beruházás</t>
  </si>
  <si>
    <t>Felújítás</t>
  </si>
  <si>
    <t>Költségvetési kiadások összesen</t>
  </si>
  <si>
    <t>Szociális intézmények</t>
  </si>
  <si>
    <t>Egyéb intézmény</t>
  </si>
  <si>
    <t>Szombathelyi Városi Vásárcsarnok</t>
  </si>
  <si>
    <t>Szombathely Megyei Jogú Város Önkormányzata általános működésének és ágazati feladatainak támogatása</t>
  </si>
  <si>
    <t>és a helyi önkormányzatok kiegészítő támogatásai</t>
  </si>
  <si>
    <t>Önkormányzat általános működésének és ágazati feladatainak támogatása (Költségvetési törvény 2. melléklet)</t>
  </si>
  <si>
    <t xml:space="preserve">2025. év  I. sz. módosított előirányzat </t>
  </si>
  <si>
    <t xml:space="preserve">2025. év  II. sz. módosított előirányzat </t>
  </si>
  <si>
    <t>1.1. TELEPÜLÉSI ÖNKORMÁNYZATOK MŰKÖDÉSÉNEK ÁLTALÁNOS TÁMOGATÁSA</t>
  </si>
  <si>
    <t>1.1.1.1. Önkormányzati hivatal működésének támogatása</t>
  </si>
  <si>
    <t>1.1.1.2. Településüzemeltetés - zöldterület gazdálkodás támogatása</t>
  </si>
  <si>
    <t>1.1.1.3. Településüzemeltetés - közvilágítás támogatása</t>
  </si>
  <si>
    <t>1.1.1.4. Településüzemeltetés - köztemető támogatása</t>
  </si>
  <si>
    <t>1.1.1.5. Településüzemeltetés - közutak támogatása</t>
  </si>
  <si>
    <t>1.1.1.6. Egyéb önkormányzati feladatok támogatása</t>
  </si>
  <si>
    <t>1.1.1.7. Lakott külterülettel kapcsolatos feladatok támogatása</t>
  </si>
  <si>
    <t>1.1.2. Nem közművel összegyűjtött háztartási szennyvíz ártalmatlanítása</t>
  </si>
  <si>
    <t>A HELYI ÖNKORMÁNYZATOK MŰKÖDÉSÉNEK ÁLTALÁNOS TÁMOGATÁSA ÖSSZESEN</t>
  </si>
  <si>
    <t>1.2. A TELEPÜLÉSI ÖNKORMÁNYZATOK EGYES KÖZNEVELÉSI FELADATAINAK TÁMOGATÁSA</t>
  </si>
  <si>
    <t>1.2.1. Óvodaműködtetési támogatás</t>
  </si>
  <si>
    <t>1.2.1.1. Óvoda működtetési támogatás - Óvoda napi nyitvatartási ideje eléri a 8 órát</t>
  </si>
  <si>
    <t>1.2.2. Az óvodában foglalkoztatott pedagógusok átlagbéralapú támogatása</t>
  </si>
  <si>
    <t>1.2.2.1 Pedagógusok átlagbéralapú támogatása</t>
  </si>
  <si>
    <t>1.2.3. Kiegészítő támogatás a pedagógusok és a pedagógus szakképzettséggel rendelkező segítők  minosítésébol adódó többletkiadásaihoz</t>
  </si>
  <si>
    <t>1.2.3.1. Napi 8 órát elérő nyitvatartási idővel rendelkező óvodában foglalkoztatott</t>
  </si>
  <si>
    <t>1.2.3.1.1.Alapfokozatú végzettségű</t>
  </si>
  <si>
    <t>1.2.3.1.1.1. Pedagógus II.kategóriába sorolt pedagógusok , ped.szakképzettséggel rendelkező segítők kiegészítő támogatása</t>
  </si>
  <si>
    <t xml:space="preserve">                               ebből  - óvodák</t>
  </si>
  <si>
    <t xml:space="preserve">                                          -  Egyesített Bölcsődei Intézmény</t>
  </si>
  <si>
    <t>1.2.3.1.1.2. Mesterpedagógus, kutatótanár kategóriába sorolt pedagógusok kiegészítő támogatása</t>
  </si>
  <si>
    <t>1.2.3.1.2. Mesterfokú végzettségű</t>
  </si>
  <si>
    <t>1.2.3.1.2.1. Pedagógus II.kategóriába sorolt pedagógusok , ped.szakképzettséggel rendelkező segítők kiegészítő támogatása</t>
  </si>
  <si>
    <t>1.2.3.1.2.2. Mesterpedagógus, kutatótanár kategóriába sorolt pedagógusok kiegészítő támogatása</t>
  </si>
  <si>
    <t>1.2.4. Nemzetiségi pótlék</t>
  </si>
  <si>
    <t>1.2.4.1. Napi 8 órát elérő nyitvatartási idővel rendelkező óvodában foglalkoztatott</t>
  </si>
  <si>
    <t>1.2.4.1.1.Nemzetiségi pótlékban részesülő pedagógus - pótlék felső határa</t>
  </si>
  <si>
    <t>1.2.5. Az óvodában foglalkoztatott pedagógusok nevelőmunkáját közvetlenül segítők átlagbéralapú támogatása</t>
  </si>
  <si>
    <t>1.2.5.1. Napi 8 órát elérő nyitvatartási idővel rendelkező óvodában foglalkoztatott</t>
  </si>
  <si>
    <t>1.2.5.1.1.pedagógus szakképzettséggel nem rendelkező segítők átlagbéralapú támogatása</t>
  </si>
  <si>
    <t>1.2.5.1.2.pedagógus szakképzettséggel rendelkező segítők átlagbéralapú támogatása</t>
  </si>
  <si>
    <t>1.2.7. Diabétesz ellátási pótlék</t>
  </si>
  <si>
    <t>1.2. A TELEPÜLÉSI ÖNKORMÁNYZATOK EGYES KÖZNEVELÉSI FELADATAINAK TÁMOGATÁSA ÖSSZESEN</t>
  </si>
  <si>
    <t>1.3. TELEPÜLÉSI ÖNKORMÁNYZATOK EGYES SZOCIÁLIS ÉS GYERMEKJÓLÉTI FELADATAINAK TÁMOGATÁSA</t>
  </si>
  <si>
    <t>1.3.2. Egyes szociális és gyermekjóléti feladatok támogatása</t>
  </si>
  <si>
    <t xml:space="preserve">1.3.2.1.Család- és gyermekjóléti szolgálat </t>
  </si>
  <si>
    <t>1.3.2.2.1.Család- és gyermekjóléti központ</t>
  </si>
  <si>
    <t>1.3.2.2.2.Család- és gyermekjóléti központ-óvodai és iskolai szociális segítő tevékenység támogatása</t>
  </si>
  <si>
    <t>1.3.2.3.1. Szociális étkeztetés - önálló feladat ellátás</t>
  </si>
  <si>
    <t xml:space="preserve">1.3.2.4.1. Házi segítségnyújtás- szociális segítés </t>
  </si>
  <si>
    <t>1.3.2.4.2. Házi segítségnyújtás- személyi gondozás -önálló feladatellátás</t>
  </si>
  <si>
    <t>1.3.2.6.1. Időskorúak nappali intézményi ellátása  - önálló feladat ellátás</t>
  </si>
  <si>
    <t>1.3.2.8.1. Demens személyek nappali intézményi ellátása - önálló feladat ellátás</t>
  </si>
  <si>
    <t>1.3.3. Bölcsőde, mini bölcsőde támogatása</t>
  </si>
  <si>
    <t>1.3.3.1. Bölcsődei bértámogatás</t>
  </si>
  <si>
    <t>1.3.3.1.1. Felsőfokú végzettségű kisgyermeknevelők, szaktanácsadók bértámogatása</t>
  </si>
  <si>
    <t>1.3.3.1.2. Bölcsődei dajkák, középfokú végzettségű kisgyermeknevelők, szaktanácsadók bértámogatása</t>
  </si>
  <si>
    <t>1.3.3.2. Bölcsődei üzemeltetési támogatás</t>
  </si>
  <si>
    <t>1.3.3. Bölcsőde, mini bölcsőde támogatása összesen</t>
  </si>
  <si>
    <t>1.3.4. Települési önkormányzatok által biztosított egyes szoc.szakosított ellátsok, valamint a gyermekek átmeneti gondozásával kapcsolatos feladatok támogatása</t>
  </si>
  <si>
    <t>1.3.4.1. Bértámogatás</t>
  </si>
  <si>
    <t>1.3.4.2. Intézményüzemeltetési támogatás</t>
  </si>
  <si>
    <t>1.3.4. Települési önkormányzatok által biztosított egyes szoc.szakosított ellátsok, valamint a gyermekek átmeneti gondozásával kapcsolatos feladatok támogatása összesen</t>
  </si>
  <si>
    <t>1.3. TELEPÜLÉSI ÖNKORMÁNYZATOK EGYES SZOCIÁLIS ÉS GYERMEKJÓLÉTI FELADATAINAK TÁMOGATÁSA ÖSSZESEN</t>
  </si>
  <si>
    <t>1.4. TELEPÜLÉSI ÖNKORMÁNYZATOK GYERMEKÉTKEZTETÉSI FELADATAINAK TÁMOGATÁSA</t>
  </si>
  <si>
    <t>1.4.1. Intézményi gyermekétkeztetés támogatása</t>
  </si>
  <si>
    <t>1.4.1.1. Intézményi gyermekétkeztetés - bértámogatás</t>
  </si>
  <si>
    <t xml:space="preserve">1.4.1.2. Intézményi gyermekétkeztetés - üzemeltetési támogatása </t>
  </si>
  <si>
    <t>1.4.2. Szünidei étkeztetés támogatása</t>
  </si>
  <si>
    <t>1.4. TELEPÜLÉSI ÖNKORMÁNYZATOK GYERMEKÉTKEZTETÉSI FELADATAINAK TÁMOGATÁSA ÖSSZESEN</t>
  </si>
  <si>
    <t xml:space="preserve">1.5. A TELEPÜLÉSI ÖNKORMÁNYZATOK KULTURÁLIS FELADATAINAK TÁMOGATÁSA </t>
  </si>
  <si>
    <t>1.5.1. Vármegyeszékhely megyei jogú városok kulturális  feladatainak támogatása</t>
  </si>
  <si>
    <t>1.5.5. Vármegyei hatókörű városi könyvtár kistelepülési könyvtári célú kiegészítő támogatása</t>
  </si>
  <si>
    <t>1.5. A TELEPÜLÉSI ÖNKORMÁNYZATOK KULTURÁLIS FELADATAINAK TÁMOGATÁSA ÖSSZESEN</t>
  </si>
  <si>
    <t>TELEPÜLÉSI ÖNKORMÁNYZATOK ÁLTALÁNOS MŰKÖDÉSÉNEK ÉS ÁGAZATI FELADATAINAK TÁMOGATÁSA MINDÖSSZESEN</t>
  </si>
  <si>
    <t>Helyi önkormányzatok kiegészítő támogatásai (Költségvetési törvény 3. melléklet)</t>
  </si>
  <si>
    <t>2.3.2. Szociális ágazati pótlék és egészségügyi kiegészítő pótlék</t>
  </si>
  <si>
    <t>Egyes szociális és gyermekjóléti feldatok működési célú támogatása összesen</t>
  </si>
  <si>
    <t>2.4.2. Vármegyei hatókörű városi múzeumok feladatainak támogatása</t>
  </si>
  <si>
    <t>2.4.3. Vármegyei hatókörű városi  könyvtárak feladatainak támogatása</t>
  </si>
  <si>
    <t>2.4.6. Zeneművészeti szervezetek támogatása</t>
  </si>
  <si>
    <t xml:space="preserve">2.4.7.  Települési önkormányzatok kulturális feladatainak bérjellegű támogatása  </t>
  </si>
  <si>
    <t>Kulturális feladatok támogatása összesen</t>
  </si>
  <si>
    <t>Működési célú költségvetési támogatások és kiegészítő támogatások összesen</t>
  </si>
  <si>
    <t>HELYI ÖNKORMÁNYZATOK KIEGÉSZÍTŐ TÁMOGATÁSAI MINDÖSSZESEN</t>
  </si>
  <si>
    <t>KVTV. 2. ÉS 3. MELLÉKLETE SZERINTI TÁMOGATÁSOK MINDÖSSZESEN</t>
  </si>
  <si>
    <t>Szombathely Megyei Jogú Város Önkormányzatának</t>
  </si>
  <si>
    <t>2025. évi  engedélyezett létszámelőirányzata</t>
  </si>
  <si>
    <t>fő</t>
  </si>
  <si>
    <t>2025. évi</t>
  </si>
  <si>
    <t>2025.évi II. sz. módosított engedélyezett létszám  előirányzat összesen</t>
  </si>
  <si>
    <t>Intézmény</t>
  </si>
  <si>
    <t>SZAKMAI LÉTSZÁM</t>
  </si>
  <si>
    <t>INTÉZMÉNY ÜZEMELTETÉSI LÉTSZÁM</t>
  </si>
  <si>
    <t>átszámítás nélküli</t>
  </si>
  <si>
    <t xml:space="preserve">   kerekített</t>
  </si>
  <si>
    <t>kerekített</t>
  </si>
  <si>
    <t>Ó v o d á k :</t>
  </si>
  <si>
    <t>89/2025.(III.27.) Kgy.sz. hat.</t>
  </si>
  <si>
    <t>Kőrösi Csoma Sándor utcai Óvoda</t>
  </si>
  <si>
    <t>Óvodák  összesen:</t>
  </si>
  <si>
    <t xml:space="preserve">Oktatási intézmények összesen:                                       </t>
  </si>
  <si>
    <t>Nem oktatási intézmények:</t>
  </si>
  <si>
    <t>Kulturális intézmény</t>
  </si>
  <si>
    <t xml:space="preserve">Összesen:                                       </t>
  </si>
  <si>
    <t xml:space="preserve">Összesen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</si>
</sst>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#,##0_ ;\-#,##0\ "/>
  </numFmts>
  <fonts count="101" x14ac:knownFonts="1">
    <font>
      <sz val="8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8"/>
      <name val="Times New Roman CE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2"/>
      <color indexed="8"/>
      <name val="garamond"/>
      <family val="2"/>
      <charset val="238"/>
    </font>
    <font>
      <sz val="12"/>
      <color indexed="9"/>
      <name val="garamond"/>
      <family val="2"/>
      <charset val="238"/>
    </font>
    <font>
      <b/>
      <sz val="15"/>
      <color indexed="56"/>
      <name val="garamond"/>
      <family val="2"/>
      <charset val="238"/>
    </font>
    <font>
      <b/>
      <sz val="13"/>
      <color indexed="56"/>
      <name val="garamond"/>
      <family val="2"/>
      <charset val="238"/>
    </font>
    <font>
      <b/>
      <sz val="11"/>
      <color indexed="56"/>
      <name val="garamond"/>
      <family val="2"/>
      <charset val="238"/>
    </font>
    <font>
      <sz val="12"/>
      <color indexed="62"/>
      <name val="garamond"/>
      <family val="2"/>
      <charset val="238"/>
    </font>
    <font>
      <sz val="12"/>
      <color indexed="52"/>
      <name val="garamond"/>
      <family val="2"/>
      <charset val="238"/>
    </font>
    <font>
      <b/>
      <sz val="12"/>
      <color indexed="63"/>
      <name val="garamond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garamond"/>
      <family val="2"/>
      <charset val="238"/>
    </font>
    <font>
      <sz val="12"/>
      <color indexed="10"/>
      <name val="garamond"/>
      <family val="2"/>
      <charset val="238"/>
    </font>
    <font>
      <sz val="11"/>
      <color indexed="8"/>
      <name val="Calibri"/>
      <family val="2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sz val="20"/>
      <name val="Arial"/>
      <family val="2"/>
      <charset val="238"/>
    </font>
    <font>
      <b/>
      <i/>
      <sz val="20"/>
      <name val="Arial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i/>
      <sz val="12"/>
      <name val="Calibri"/>
      <family val="2"/>
      <charset val="238"/>
    </font>
    <font>
      <i/>
      <sz val="12"/>
      <name val="Calibri"/>
      <family val="2"/>
      <charset val="238"/>
    </font>
    <font>
      <b/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u/>
      <sz val="12"/>
      <name val="Calibri"/>
      <family val="2"/>
      <charset val="238"/>
      <scheme val="minor"/>
    </font>
    <font>
      <i/>
      <u/>
      <sz val="16"/>
      <name val="Calibri"/>
      <family val="2"/>
      <charset val="238"/>
      <scheme val="minor"/>
    </font>
    <font>
      <i/>
      <u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i/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  <font>
      <b/>
      <sz val="18"/>
      <name val="Arial"/>
      <family val="2"/>
      <charset val="238"/>
    </font>
    <font>
      <sz val="12"/>
      <name val="Times New Roman CE"/>
      <charset val="238"/>
    </font>
    <font>
      <b/>
      <sz val="2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36"/>
      <name val="Calibri"/>
      <family val="2"/>
      <charset val="238"/>
      <scheme val="minor"/>
    </font>
    <font>
      <b/>
      <sz val="36"/>
      <name val="Arial CE"/>
      <charset val="238"/>
    </font>
    <font>
      <b/>
      <sz val="30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b/>
      <i/>
      <sz val="36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sz val="36"/>
      <name val="Arial CE"/>
      <family val="2"/>
      <charset val="238"/>
    </font>
    <font>
      <b/>
      <sz val="36"/>
      <name val="Arial CE"/>
      <family val="2"/>
      <charset val="238"/>
    </font>
    <font>
      <sz val="36"/>
      <color rgb="FFFF0000"/>
      <name val="Calibri"/>
      <family val="2"/>
      <charset val="238"/>
      <scheme val="minor"/>
    </font>
    <font>
      <sz val="28"/>
      <color indexed="10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sz val="20"/>
      <color indexed="8"/>
      <name val="Arial"/>
      <family val="2"/>
      <charset val="238"/>
    </font>
    <font>
      <sz val="16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26"/>
      <color theme="1"/>
      <name val="Arial"/>
      <family val="2"/>
      <charset val="238"/>
    </font>
    <font>
      <b/>
      <sz val="26"/>
      <name val="Arial"/>
      <family val="2"/>
      <charset val="238"/>
    </font>
    <font>
      <b/>
      <sz val="24"/>
      <color theme="1"/>
      <name val="Arial"/>
      <family val="2"/>
      <charset val="238"/>
    </font>
    <font>
      <b/>
      <sz val="24"/>
      <color indexed="8"/>
      <name val="Arial"/>
      <family val="2"/>
      <charset val="238"/>
    </font>
    <font>
      <sz val="24"/>
      <color indexed="8"/>
      <name val="Arial"/>
      <family val="2"/>
      <charset val="238"/>
    </font>
    <font>
      <sz val="24"/>
      <name val="Arial"/>
      <family val="2"/>
      <charset val="238"/>
    </font>
    <font>
      <b/>
      <sz val="22"/>
      <name val="Arial"/>
      <family val="2"/>
      <charset val="238"/>
    </font>
    <font>
      <b/>
      <i/>
      <sz val="26"/>
      <name val="Arial"/>
      <family val="2"/>
      <charset val="238"/>
    </font>
    <font>
      <sz val="22"/>
      <color theme="1"/>
      <name val="Arial"/>
      <family val="2"/>
      <charset val="238"/>
    </font>
    <font>
      <b/>
      <sz val="26"/>
      <color indexed="8"/>
      <name val="Arial"/>
      <family val="2"/>
      <charset val="238"/>
    </font>
    <font>
      <sz val="24"/>
      <name val="Arial CE"/>
      <charset val="238"/>
    </font>
    <font>
      <b/>
      <i/>
      <sz val="24"/>
      <name val="Arial CE"/>
      <charset val="238"/>
    </font>
    <font>
      <b/>
      <sz val="26"/>
      <name val="Arial CE"/>
      <family val="2"/>
      <charset val="238"/>
    </font>
    <font>
      <b/>
      <sz val="26"/>
      <name val="Calibri"/>
      <family val="2"/>
      <charset val="238"/>
      <scheme val="minor"/>
    </font>
    <font>
      <b/>
      <sz val="14"/>
      <name val="Arial CE"/>
      <family val="2"/>
      <charset val="238"/>
    </font>
    <font>
      <b/>
      <u/>
      <sz val="26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16"/>
      <name val="Arial CE"/>
      <family val="2"/>
      <charset val="238"/>
    </font>
    <font>
      <sz val="26"/>
      <name val="Calibri"/>
      <family val="2"/>
      <charset val="238"/>
      <scheme val="minor"/>
    </font>
    <font>
      <sz val="28"/>
      <name val="Calibri"/>
      <family val="2"/>
      <charset val="23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9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 style="thin">
        <color indexed="64"/>
      </left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61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2" borderId="0" applyNumberFormat="0" applyBorder="0" applyAlignment="0" applyProtection="0"/>
    <xf numFmtId="0" fontId="8" fillId="6" borderId="0" applyNumberFormat="0" applyBorder="0" applyAlignment="0" applyProtection="0"/>
    <xf numFmtId="0" fontId="16" fillId="8" borderId="1" applyNumberFormat="0" applyAlignment="0" applyProtection="0"/>
    <xf numFmtId="0" fontId="10" fillId="20" borderId="1" applyNumberFormat="0" applyAlignment="0" applyProtection="0"/>
    <xf numFmtId="0" fontId="5" fillId="21" borderId="2" applyNumberFormat="0" applyAlignment="0" applyProtection="0"/>
    <xf numFmtId="0" fontId="19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7" fillId="0" borderId="6" applyNumberFormat="0" applyFill="0" applyAlignment="0" applyProtection="0"/>
    <xf numFmtId="0" fontId="11" fillId="22" borderId="7" applyNumberFormat="0" applyFont="0" applyAlignment="0" applyProtection="0"/>
    <xf numFmtId="0" fontId="6" fillId="7" borderId="0" applyNumberFormat="0" applyBorder="0" applyAlignment="0" applyProtection="0"/>
    <xf numFmtId="0" fontId="18" fillId="23" borderId="8" applyNumberFormat="0" applyAlignment="0" applyProtection="0"/>
    <xf numFmtId="0" fontId="7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22" fillId="0" borderId="0"/>
    <xf numFmtId="0" fontId="4" fillId="0" borderId="0"/>
    <xf numFmtId="0" fontId="3" fillId="0" borderId="0"/>
    <xf numFmtId="0" fontId="3" fillId="0" borderId="0"/>
    <xf numFmtId="0" fontId="23" fillId="0" borderId="0"/>
    <xf numFmtId="0" fontId="2" fillId="0" borderId="0"/>
    <xf numFmtId="0" fontId="3" fillId="0" borderId="0"/>
    <xf numFmtId="0" fontId="20" fillId="0" borderId="9" applyNumberFormat="0" applyFill="0" applyAlignment="0" applyProtection="0"/>
    <xf numFmtId="0" fontId="8" fillId="6" borderId="0" applyNumberFormat="0" applyBorder="0" applyAlignment="0" applyProtection="0"/>
    <xf numFmtId="0" fontId="9" fillId="24" borderId="0" applyNumberFormat="0" applyBorder="0" applyAlignment="0" applyProtection="0"/>
    <xf numFmtId="0" fontId="10" fillId="20" borderId="1" applyNumberFormat="0" applyAlignment="0" applyProtection="0"/>
    <xf numFmtId="0" fontId="61" fillId="0" borderId="0"/>
    <xf numFmtId="0" fontId="23" fillId="0" borderId="0"/>
    <xf numFmtId="0" fontId="1" fillId="0" borderId="0"/>
    <xf numFmtId="0" fontId="3" fillId="0" borderId="0"/>
    <xf numFmtId="0" fontId="59" fillId="0" borderId="0"/>
  </cellStyleXfs>
  <cellXfs count="970">
    <xf numFmtId="0" fontId="0" fillId="0" borderId="0" xfId="0"/>
    <xf numFmtId="0" fontId="31" fillId="0" borderId="19" xfId="0" applyFont="1" applyBorder="1" applyAlignment="1">
      <alignment wrapText="1"/>
    </xf>
    <xf numFmtId="0" fontId="32" fillId="0" borderId="0" xfId="0" applyFont="1" applyAlignment="1">
      <alignment wrapText="1"/>
    </xf>
    <xf numFmtId="0" fontId="32" fillId="0" borderId="20" xfId="0" applyFont="1" applyBorder="1" applyAlignment="1">
      <alignment wrapText="1"/>
    </xf>
    <xf numFmtId="0" fontId="31" fillId="0" borderId="19" xfId="0" applyFont="1" applyBorder="1"/>
    <xf numFmtId="0" fontId="31" fillId="0" borderId="21" xfId="0" applyFont="1" applyBorder="1"/>
    <xf numFmtId="0" fontId="31" fillId="0" borderId="0" xfId="0" applyFont="1"/>
    <xf numFmtId="0" fontId="32" fillId="0" borderId="19" xfId="0" applyFont="1" applyBorder="1"/>
    <xf numFmtId="0" fontId="32" fillId="0" borderId="0" xfId="0" applyFont="1"/>
    <xf numFmtId="0" fontId="32" fillId="0" borderId="0" xfId="0" applyFont="1" applyAlignment="1">
      <alignment horizontal="left"/>
    </xf>
    <xf numFmtId="0" fontId="33" fillId="0" borderId="22" xfId="0" applyFont="1" applyBorder="1"/>
    <xf numFmtId="0" fontId="34" fillId="0" borderId="0" xfId="0" applyFont="1"/>
    <xf numFmtId="0" fontId="35" fillId="0" borderId="19" xfId="48" applyFont="1" applyBorder="1"/>
    <xf numFmtId="0" fontId="33" fillId="0" borderId="19" xfId="48" applyFont="1" applyBorder="1" applyAlignment="1">
      <alignment horizontal="right"/>
    </xf>
    <xf numFmtId="3" fontId="32" fillId="0" borderId="0" xfId="0" applyNumberFormat="1" applyFont="1"/>
    <xf numFmtId="3" fontId="36" fillId="0" borderId="0" xfId="0" applyNumberFormat="1" applyFont="1" applyAlignment="1">
      <alignment horizontal="center"/>
    </xf>
    <xf numFmtId="3" fontId="32" fillId="0" borderId="0" xfId="0" applyNumberFormat="1" applyFont="1" applyAlignment="1">
      <alignment horizontal="right"/>
    </xf>
    <xf numFmtId="0" fontId="36" fillId="0" borderId="24" xfId="0" applyFont="1" applyBorder="1" applyAlignment="1">
      <alignment horizontal="left"/>
    </xf>
    <xf numFmtId="3" fontId="36" fillId="0" borderId="25" xfId="0" applyNumberFormat="1" applyFont="1" applyBorder="1" applyAlignment="1">
      <alignment horizontal="left"/>
    </xf>
    <xf numFmtId="3" fontId="35" fillId="0" borderId="26" xfId="0" applyNumberFormat="1" applyFont="1" applyBorder="1" applyAlignment="1">
      <alignment horizontal="center"/>
    </xf>
    <xf numFmtId="3" fontId="32" fillId="0" borderId="25" xfId="0" applyNumberFormat="1" applyFont="1" applyBorder="1"/>
    <xf numFmtId="0" fontId="36" fillId="0" borderId="19" xfId="0" applyFont="1" applyBorder="1" applyAlignment="1">
      <alignment horizontal="left"/>
    </xf>
    <xf numFmtId="3" fontId="36" fillId="0" borderId="0" xfId="0" applyNumberFormat="1" applyFont="1" applyAlignment="1">
      <alignment horizontal="left"/>
    </xf>
    <xf numFmtId="3" fontId="35" fillId="0" borderId="27" xfId="0" applyNumberFormat="1" applyFont="1" applyBorder="1" applyAlignment="1">
      <alignment horizontal="center"/>
    </xf>
    <xf numFmtId="3" fontId="36" fillId="0" borderId="28" xfId="0" applyNumberFormat="1" applyFont="1" applyBorder="1" applyAlignment="1">
      <alignment horizontal="centerContinuous"/>
    </xf>
    <xf numFmtId="3" fontId="36" fillId="0" borderId="29" xfId="0" applyNumberFormat="1" applyFont="1" applyBorder="1" applyAlignment="1">
      <alignment horizontal="centerContinuous"/>
    </xf>
    <xf numFmtId="3" fontId="36" fillId="0" borderId="30" xfId="0" applyNumberFormat="1" applyFont="1" applyBorder="1" applyAlignment="1">
      <alignment horizontal="right"/>
    </xf>
    <xf numFmtId="0" fontId="32" fillId="0" borderId="29" xfId="0" applyFont="1" applyBorder="1"/>
    <xf numFmtId="3" fontId="36" fillId="0" borderId="29" xfId="0" applyNumberFormat="1" applyFont="1" applyBorder="1" applyAlignment="1">
      <alignment horizontal="right"/>
    </xf>
    <xf numFmtId="0" fontId="32" fillId="0" borderId="31" xfId="0" applyFont="1" applyBorder="1"/>
    <xf numFmtId="3" fontId="34" fillId="0" borderId="0" xfId="0" applyNumberFormat="1" applyFont="1"/>
    <xf numFmtId="0" fontId="32" fillId="0" borderId="20" xfId="0" applyFont="1" applyBorder="1"/>
    <xf numFmtId="3" fontId="34" fillId="0" borderId="22" xfId="0" applyNumberFormat="1" applyFont="1" applyBorder="1"/>
    <xf numFmtId="3" fontId="34" fillId="0" borderId="22" xfId="0" applyNumberFormat="1" applyFont="1" applyBorder="1" applyAlignment="1">
      <alignment horizontal="right"/>
    </xf>
    <xf numFmtId="0" fontId="32" fillId="0" borderId="33" xfId="0" applyFont="1" applyBorder="1"/>
    <xf numFmtId="3" fontId="34" fillId="0" borderId="34" xfId="0" applyNumberFormat="1" applyFont="1" applyBorder="1"/>
    <xf numFmtId="3" fontId="34" fillId="0" borderId="34" xfId="0" applyNumberFormat="1" applyFont="1" applyBorder="1" applyAlignment="1">
      <alignment horizontal="right"/>
    </xf>
    <xf numFmtId="3" fontId="34" fillId="0" borderId="27" xfId="0" applyNumberFormat="1" applyFont="1" applyBorder="1"/>
    <xf numFmtId="3" fontId="36" fillId="0" borderId="33" xfId="0" applyNumberFormat="1" applyFont="1" applyBorder="1"/>
    <xf numFmtId="0" fontId="34" fillId="0" borderId="27" xfId="0" applyFont="1" applyBorder="1"/>
    <xf numFmtId="3" fontId="34" fillId="0" borderId="35" xfId="0" applyNumberFormat="1" applyFont="1" applyBorder="1"/>
    <xf numFmtId="3" fontId="36" fillId="0" borderId="19" xfId="0" applyNumberFormat="1" applyFont="1" applyBorder="1"/>
    <xf numFmtId="3" fontId="31" fillId="0" borderId="0" xfId="0" applyNumberFormat="1" applyFont="1"/>
    <xf numFmtId="3" fontId="37" fillId="0" borderId="27" xfId="0" applyNumberFormat="1" applyFont="1" applyBorder="1"/>
    <xf numFmtId="3" fontId="39" fillId="0" borderId="36" xfId="0" applyNumberFormat="1" applyFont="1" applyBorder="1"/>
    <xf numFmtId="3" fontId="40" fillId="0" borderId="37" xfId="0" applyNumberFormat="1" applyFont="1" applyBorder="1"/>
    <xf numFmtId="3" fontId="39" fillId="0" borderId="38" xfId="0" applyNumberFormat="1" applyFont="1" applyBorder="1" applyAlignment="1">
      <alignment horizontal="right"/>
    </xf>
    <xf numFmtId="3" fontId="36" fillId="0" borderId="0" xfId="0" applyNumberFormat="1" applyFont="1"/>
    <xf numFmtId="0" fontId="36" fillId="0" borderId="25" xfId="0" applyFont="1" applyBorder="1" applyAlignment="1">
      <alignment horizontal="left"/>
    </xf>
    <xf numFmtId="3" fontId="36" fillId="0" borderId="39" xfId="0" applyNumberFormat="1" applyFont="1" applyBorder="1" applyAlignment="1">
      <alignment horizontal="left"/>
    </xf>
    <xf numFmtId="0" fontId="36" fillId="0" borderId="0" xfId="0" applyFont="1" applyAlignment="1">
      <alignment horizontal="left"/>
    </xf>
    <xf numFmtId="3" fontId="36" fillId="0" borderId="40" xfId="0" applyNumberFormat="1" applyFont="1" applyBorder="1" applyAlignment="1">
      <alignment horizontal="centerContinuous"/>
    </xf>
    <xf numFmtId="3" fontId="34" fillId="0" borderId="26" xfId="0" applyNumberFormat="1" applyFont="1" applyBorder="1" applyAlignment="1">
      <alignment horizontal="right"/>
    </xf>
    <xf numFmtId="3" fontId="39" fillId="0" borderId="26" xfId="0" applyNumberFormat="1" applyFont="1" applyBorder="1" applyAlignment="1">
      <alignment horizontal="right"/>
    </xf>
    <xf numFmtId="3" fontId="34" fillId="0" borderId="27" xfId="0" applyNumberFormat="1" applyFont="1" applyBorder="1" applyAlignment="1">
      <alignment horizontal="right"/>
    </xf>
    <xf numFmtId="0" fontId="36" fillId="0" borderId="41" xfId="0" applyFont="1" applyBorder="1"/>
    <xf numFmtId="0" fontId="32" fillId="0" borderId="0" xfId="48" applyFont="1"/>
    <xf numFmtId="3" fontId="39" fillId="0" borderId="42" xfId="0" applyNumberFormat="1" applyFont="1" applyBorder="1"/>
    <xf numFmtId="3" fontId="39" fillId="0" borderId="38" xfId="0" applyNumberFormat="1" applyFont="1" applyBorder="1"/>
    <xf numFmtId="3" fontId="36" fillId="0" borderId="25" xfId="0" applyNumberFormat="1" applyFont="1" applyBorder="1"/>
    <xf numFmtId="3" fontId="39" fillId="0" borderId="25" xfId="0" applyNumberFormat="1" applyFont="1" applyBorder="1"/>
    <xf numFmtId="3" fontId="39" fillId="0" borderId="25" xfId="0" applyNumberFormat="1" applyFont="1" applyBorder="1" applyAlignment="1">
      <alignment horizontal="left"/>
    </xf>
    <xf numFmtId="3" fontId="36" fillId="0" borderId="15" xfId="0" applyNumberFormat="1" applyFont="1" applyBorder="1"/>
    <xf numFmtId="3" fontId="36" fillId="0" borderId="43" xfId="0" applyNumberFormat="1" applyFont="1" applyBorder="1" applyAlignment="1">
      <alignment horizontal="left"/>
    </xf>
    <xf numFmtId="3" fontId="39" fillId="0" borderId="26" xfId="0" applyNumberFormat="1" applyFont="1" applyBorder="1" applyAlignment="1">
      <alignment horizontal="left"/>
    </xf>
    <xf numFmtId="0" fontId="31" fillId="0" borderId="44" xfId="0" applyFont="1" applyBorder="1"/>
    <xf numFmtId="3" fontId="39" fillId="0" borderId="45" xfId="0" applyNumberFormat="1" applyFont="1" applyBorder="1"/>
    <xf numFmtId="3" fontId="36" fillId="0" borderId="28" xfId="0" applyNumberFormat="1" applyFont="1" applyBorder="1"/>
    <xf numFmtId="0" fontId="32" fillId="0" borderId="29" xfId="0" applyFont="1" applyBorder="1" applyAlignment="1">
      <alignment horizontal="left"/>
    </xf>
    <xf numFmtId="3" fontId="39" fillId="0" borderId="0" xfId="0" applyNumberFormat="1" applyFont="1"/>
    <xf numFmtId="3" fontId="32" fillId="0" borderId="46" xfId="0" applyNumberFormat="1" applyFont="1" applyBorder="1"/>
    <xf numFmtId="3" fontId="43" fillId="0" borderId="0" xfId="0" applyNumberFormat="1" applyFont="1"/>
    <xf numFmtId="3" fontId="32" fillId="0" borderId="47" xfId="0" applyNumberFormat="1" applyFont="1" applyBorder="1"/>
    <xf numFmtId="3" fontId="37" fillId="0" borderId="0" xfId="0" applyNumberFormat="1" applyFont="1"/>
    <xf numFmtId="3" fontId="40" fillId="0" borderId="0" xfId="0" applyNumberFormat="1" applyFont="1"/>
    <xf numFmtId="0" fontId="35" fillId="0" borderId="0" xfId="0" applyFont="1" applyAlignment="1">
      <alignment horizontal="center"/>
    </xf>
    <xf numFmtId="3" fontId="35" fillId="0" borderId="0" xfId="0" applyNumberFormat="1" applyFont="1" applyAlignment="1">
      <alignment horizontal="center"/>
    </xf>
    <xf numFmtId="0" fontId="33" fillId="0" borderId="0" xfId="0" applyFont="1"/>
    <xf numFmtId="3" fontId="33" fillId="0" borderId="0" xfId="0" applyNumberFormat="1" applyFont="1"/>
    <xf numFmtId="0" fontId="33" fillId="0" borderId="29" xfId="0" applyFont="1" applyBorder="1"/>
    <xf numFmtId="0" fontId="35" fillId="0" borderId="29" xfId="0" applyFont="1" applyBorder="1"/>
    <xf numFmtId="0" fontId="35" fillId="0" borderId="0" xfId="0" applyFont="1"/>
    <xf numFmtId="0" fontId="35" fillId="0" borderId="24" xfId="0" applyFont="1" applyBorder="1" applyAlignment="1">
      <alignment horizontal="left"/>
    </xf>
    <xf numFmtId="0" fontId="33" fillId="0" borderId="25" xfId="0" applyFont="1" applyBorder="1"/>
    <xf numFmtId="0" fontId="35" fillId="0" borderId="25" xfId="0" applyFont="1" applyBorder="1"/>
    <xf numFmtId="0" fontId="33" fillId="0" borderId="28" xfId="0" applyFont="1" applyBorder="1"/>
    <xf numFmtId="0" fontId="35" fillId="0" borderId="29" xfId="0" applyFont="1" applyBorder="1" applyAlignment="1">
      <alignment horizontal="left"/>
    </xf>
    <xf numFmtId="0" fontId="35" fillId="0" borderId="29" xfId="0" applyFont="1" applyBorder="1" applyAlignment="1">
      <alignment horizontal="right"/>
    </xf>
    <xf numFmtId="3" fontId="35" fillId="0" borderId="30" xfId="0" applyNumberFormat="1" applyFont="1" applyBorder="1" applyAlignment="1">
      <alignment horizontal="center"/>
    </xf>
    <xf numFmtId="0" fontId="36" fillId="0" borderId="19" xfId="0" applyFont="1" applyBorder="1"/>
    <xf numFmtId="0" fontId="39" fillId="0" borderId="26" xfId="0" applyFont="1" applyBorder="1" applyAlignment="1">
      <alignment horizontal="left"/>
    </xf>
    <xf numFmtId="3" fontId="31" fillId="0" borderId="0" xfId="0" applyNumberFormat="1" applyFont="1" applyProtection="1">
      <protection locked="0"/>
    </xf>
    <xf numFmtId="3" fontId="37" fillId="0" borderId="27" xfId="0" applyNumberFormat="1" applyFont="1" applyBorder="1" applyProtection="1">
      <protection locked="0"/>
    </xf>
    <xf numFmtId="0" fontId="44" fillId="0" borderId="0" xfId="0" applyFont="1"/>
    <xf numFmtId="0" fontId="45" fillId="0" borderId="0" xfId="0" applyFont="1"/>
    <xf numFmtId="3" fontId="40" fillId="0" borderId="27" xfId="0" applyNumberFormat="1" applyFont="1" applyBorder="1"/>
    <xf numFmtId="0" fontId="31" fillId="0" borderId="48" xfId="0" applyFont="1" applyBorder="1"/>
    <xf numFmtId="3" fontId="31" fillId="0" borderId="48" xfId="0" applyNumberFormat="1" applyFont="1" applyBorder="1" applyProtection="1">
      <protection locked="0"/>
    </xf>
    <xf numFmtId="3" fontId="37" fillId="0" borderId="49" xfId="0" applyNumberFormat="1" applyFont="1" applyBorder="1" applyProtection="1">
      <protection locked="0"/>
    </xf>
    <xf numFmtId="0" fontId="45" fillId="0" borderId="14" xfId="0" applyFont="1" applyBorder="1"/>
    <xf numFmtId="0" fontId="31" fillId="0" borderId="0" xfId="0" applyFont="1" applyAlignment="1">
      <alignment wrapText="1"/>
    </xf>
    <xf numFmtId="0" fontId="31" fillId="0" borderId="50" xfId="0" applyFont="1" applyBorder="1"/>
    <xf numFmtId="0" fontId="31" fillId="0" borderId="50" xfId="0" applyFont="1" applyBorder="1" applyAlignment="1">
      <alignment wrapText="1"/>
    </xf>
    <xf numFmtId="3" fontId="37" fillId="0" borderId="51" xfId="0" applyNumberFormat="1" applyFont="1" applyBorder="1" applyProtection="1">
      <protection locked="0"/>
    </xf>
    <xf numFmtId="3" fontId="32" fillId="0" borderId="20" xfId="0" applyNumberFormat="1" applyFont="1" applyBorder="1" applyProtection="1">
      <protection locked="0"/>
    </xf>
    <xf numFmtId="3" fontId="34" fillId="0" borderId="22" xfId="0" applyNumberFormat="1" applyFont="1" applyBorder="1" applyProtection="1">
      <protection locked="0"/>
    </xf>
    <xf numFmtId="0" fontId="32" fillId="0" borderId="21" xfId="0" applyFont="1" applyBorder="1"/>
    <xf numFmtId="0" fontId="32" fillId="0" borderId="52" xfId="0" applyFont="1" applyBorder="1"/>
    <xf numFmtId="3" fontId="32" fillId="0" borderId="53" xfId="0" applyNumberFormat="1" applyFont="1" applyBorder="1" applyProtection="1">
      <protection locked="0"/>
    </xf>
    <xf numFmtId="3" fontId="32" fillId="0" borderId="33" xfId="0" applyNumberFormat="1" applyFont="1" applyBorder="1" applyProtection="1">
      <protection locked="0"/>
    </xf>
    <xf numFmtId="3" fontId="34" fillId="0" borderId="34" xfId="0" applyNumberFormat="1" applyFont="1" applyBorder="1" applyProtection="1">
      <protection locked="0"/>
    </xf>
    <xf numFmtId="3" fontId="31" fillId="0" borderId="48" xfId="0" applyNumberFormat="1" applyFont="1" applyBorder="1"/>
    <xf numFmtId="3" fontId="37" fillId="0" borderId="49" xfId="0" applyNumberFormat="1" applyFont="1" applyBorder="1"/>
    <xf numFmtId="3" fontId="31" fillId="0" borderId="50" xfId="0" applyNumberFormat="1" applyFont="1" applyBorder="1" applyProtection="1">
      <protection locked="0"/>
    </xf>
    <xf numFmtId="3" fontId="37" fillId="0" borderId="51" xfId="0" applyNumberFormat="1" applyFont="1" applyBorder="1"/>
    <xf numFmtId="3" fontId="32" fillId="0" borderId="20" xfId="0" applyNumberFormat="1" applyFont="1" applyBorder="1" applyAlignment="1" applyProtection="1">
      <alignment wrapText="1"/>
      <protection locked="0"/>
    </xf>
    <xf numFmtId="0" fontId="31" fillId="0" borderId="52" xfId="0" applyFont="1" applyBorder="1"/>
    <xf numFmtId="3" fontId="34" fillId="0" borderId="49" xfId="0" applyNumberFormat="1" applyFont="1" applyBorder="1"/>
    <xf numFmtId="3" fontId="32" fillId="0" borderId="39" xfId="0" applyNumberFormat="1" applyFont="1" applyBorder="1"/>
    <xf numFmtId="0" fontId="31" fillId="0" borderId="54" xfId="0" applyFont="1" applyBorder="1"/>
    <xf numFmtId="3" fontId="31" fillId="0" borderId="54" xfId="0" applyNumberFormat="1" applyFont="1" applyBorder="1" applyProtection="1">
      <protection locked="0"/>
    </xf>
    <xf numFmtId="3" fontId="37" fillId="0" borderId="42" xfId="0" applyNumberFormat="1" applyFont="1" applyBorder="1"/>
    <xf numFmtId="0" fontId="31" fillId="0" borderId="29" xfId="0" applyFont="1" applyBorder="1" applyAlignment="1">
      <alignment horizontal="left"/>
    </xf>
    <xf numFmtId="0" fontId="36" fillId="0" borderId="29" xfId="0" applyFont="1" applyBorder="1" applyAlignment="1">
      <alignment horizontal="left"/>
    </xf>
    <xf numFmtId="3" fontId="39" fillId="0" borderId="30" xfId="0" applyNumberFormat="1" applyFont="1" applyBorder="1"/>
    <xf numFmtId="0" fontId="32" fillId="0" borderId="41" xfId="0" applyFont="1" applyBorder="1" applyAlignment="1">
      <alignment horizontal="left"/>
    </xf>
    <xf numFmtId="3" fontId="32" fillId="0" borderId="20" xfId="0" applyNumberFormat="1" applyFont="1" applyBorder="1"/>
    <xf numFmtId="0" fontId="36" fillId="0" borderId="19" xfId="0" applyFont="1" applyBorder="1" applyAlignment="1">
      <alignment horizontal="center"/>
    </xf>
    <xf numFmtId="0" fontId="32" fillId="0" borderId="20" xfId="0" applyFont="1" applyBorder="1" applyAlignment="1">
      <alignment horizontal="left"/>
    </xf>
    <xf numFmtId="0" fontId="36" fillId="0" borderId="41" xfId="0" applyFont="1" applyBorder="1" applyAlignment="1">
      <alignment horizontal="left"/>
    </xf>
    <xf numFmtId="0" fontId="36" fillId="0" borderId="55" xfId="0" applyFont="1" applyBorder="1"/>
    <xf numFmtId="0" fontId="31" fillId="0" borderId="54" xfId="0" applyFont="1" applyBorder="1" applyAlignment="1">
      <alignment horizontal="left"/>
    </xf>
    <xf numFmtId="0" fontId="36" fillId="0" borderId="54" xfId="0" applyFont="1" applyBorder="1" applyAlignment="1">
      <alignment horizontal="left"/>
    </xf>
    <xf numFmtId="3" fontId="39" fillId="0" borderId="42" xfId="0" applyNumberFormat="1" applyFont="1" applyBorder="1" applyProtection="1">
      <protection locked="0"/>
    </xf>
    <xf numFmtId="0" fontId="36" fillId="0" borderId="24" xfId="0" applyFont="1" applyBorder="1"/>
    <xf numFmtId="0" fontId="31" fillId="0" borderId="25" xfId="0" applyFont="1" applyBorder="1"/>
    <xf numFmtId="0" fontId="31" fillId="0" borderId="25" xfId="0" applyFont="1" applyBorder="1" applyAlignment="1">
      <alignment horizontal="left"/>
    </xf>
    <xf numFmtId="0" fontId="37" fillId="0" borderId="26" xfId="0" applyFont="1" applyBorder="1" applyAlignment="1">
      <alignment horizontal="left"/>
    </xf>
    <xf numFmtId="0" fontId="31" fillId="0" borderId="0" xfId="0" applyFont="1" applyAlignment="1">
      <alignment horizontal="left"/>
    </xf>
    <xf numFmtId="0" fontId="37" fillId="0" borderId="27" xfId="0" applyFont="1" applyBorder="1" applyAlignment="1">
      <alignment horizontal="left"/>
    </xf>
    <xf numFmtId="3" fontId="32" fillId="0" borderId="33" xfId="0" applyNumberFormat="1" applyFont="1" applyBorder="1"/>
    <xf numFmtId="0" fontId="31" fillId="0" borderId="39" xfId="0" applyFont="1" applyBorder="1" applyAlignment="1">
      <alignment horizontal="left"/>
    </xf>
    <xf numFmtId="0" fontId="36" fillId="0" borderId="56" xfId="0" applyFont="1" applyBorder="1" applyAlignment="1">
      <alignment horizontal="left"/>
    </xf>
    <xf numFmtId="0" fontId="36" fillId="0" borderId="0" xfId="48" applyFont="1" applyAlignment="1">
      <alignment horizontal="left"/>
    </xf>
    <xf numFmtId="3" fontId="39" fillId="0" borderId="27" xfId="0" applyNumberFormat="1" applyFont="1" applyBorder="1"/>
    <xf numFmtId="3" fontId="34" fillId="0" borderId="35" xfId="0" applyNumberFormat="1" applyFont="1" applyBorder="1" applyProtection="1">
      <protection locked="0"/>
    </xf>
    <xf numFmtId="0" fontId="36" fillId="0" borderId="44" xfId="0" applyFont="1" applyBorder="1"/>
    <xf numFmtId="0" fontId="31" fillId="0" borderId="41" xfId="0" applyFont="1" applyBorder="1" applyAlignment="1">
      <alignment horizontal="left"/>
    </xf>
    <xf numFmtId="3" fontId="39" fillId="0" borderId="38" xfId="0" applyNumberFormat="1" applyFont="1" applyBorder="1" applyProtection="1">
      <protection locked="0"/>
    </xf>
    <xf numFmtId="0" fontId="32" fillId="0" borderId="25" xfId="0" applyFont="1" applyBorder="1"/>
    <xf numFmtId="0" fontId="34" fillId="0" borderId="26" xfId="0" applyFont="1" applyBorder="1"/>
    <xf numFmtId="0" fontId="31" fillId="0" borderId="19" xfId="0" applyFont="1" applyBorder="1" applyAlignment="1">
      <alignment horizontal="left"/>
    </xf>
    <xf numFmtId="0" fontId="32" fillId="0" borderId="33" xfId="0" applyFont="1" applyBorder="1" applyAlignment="1">
      <alignment horizontal="left"/>
    </xf>
    <xf numFmtId="0" fontId="31" fillId="0" borderId="33" xfId="0" applyFont="1" applyBorder="1" applyAlignment="1">
      <alignment horizontal="left"/>
    </xf>
    <xf numFmtId="3" fontId="33" fillId="0" borderId="0" xfId="0" applyNumberFormat="1" applyFont="1" applyAlignment="1">
      <alignment horizontal="right"/>
    </xf>
    <xf numFmtId="0" fontId="35" fillId="0" borderId="26" xfId="0" applyFont="1" applyBorder="1" applyAlignment="1">
      <alignment horizontal="center"/>
    </xf>
    <xf numFmtId="0" fontId="35" fillId="0" borderId="30" xfId="0" applyFont="1" applyBorder="1" applyAlignment="1">
      <alignment horizontal="center"/>
    </xf>
    <xf numFmtId="0" fontId="33" fillId="27" borderId="32" xfId="0" applyFont="1" applyFill="1" applyBorder="1"/>
    <xf numFmtId="3" fontId="34" fillId="27" borderId="22" xfId="0" applyNumberFormat="1" applyFont="1" applyFill="1" applyBorder="1"/>
    <xf numFmtId="0" fontId="35" fillId="0" borderId="55" xfId="0" applyFont="1" applyBorder="1"/>
    <xf numFmtId="3" fontId="34" fillId="27" borderId="58" xfId="0" applyNumberFormat="1" applyFont="1" applyFill="1" applyBorder="1"/>
    <xf numFmtId="0" fontId="33" fillId="0" borderId="32" xfId="0" applyFont="1" applyBorder="1" applyAlignment="1">
      <alignment wrapText="1"/>
    </xf>
    <xf numFmtId="0" fontId="33" fillId="0" borderId="32" xfId="0" applyFont="1" applyBorder="1"/>
    <xf numFmtId="0" fontId="33" fillId="0" borderId="32" xfId="0" applyFont="1" applyBorder="1" applyAlignment="1">
      <alignment horizontal="justify"/>
    </xf>
    <xf numFmtId="0" fontId="33" fillId="0" borderId="34" xfId="0" applyFont="1" applyBorder="1" applyAlignment="1">
      <alignment horizontal="justify"/>
    </xf>
    <xf numFmtId="0" fontId="33" fillId="0" borderId="36" xfId="0" applyFont="1" applyBorder="1" applyAlignment="1">
      <alignment wrapText="1"/>
    </xf>
    <xf numFmtId="0" fontId="35" fillId="0" borderId="42" xfId="0" applyFont="1" applyBorder="1" applyAlignment="1">
      <alignment wrapText="1"/>
    </xf>
    <xf numFmtId="3" fontId="39" fillId="0" borderId="55" xfId="0" applyNumberFormat="1" applyFont="1" applyBorder="1" applyAlignment="1">
      <alignment horizontal="right" wrapText="1"/>
    </xf>
    <xf numFmtId="3" fontId="39" fillId="0" borderId="42" xfId="0" applyNumberFormat="1" applyFont="1" applyBorder="1" applyAlignment="1">
      <alignment horizontal="right" wrapText="1"/>
    </xf>
    <xf numFmtId="3" fontId="35" fillId="0" borderId="0" xfId="0" applyNumberFormat="1" applyFont="1"/>
    <xf numFmtId="0" fontId="35" fillId="0" borderId="24" xfId="0" applyFont="1" applyBorder="1" applyAlignment="1">
      <alignment horizontal="center"/>
    </xf>
    <xf numFmtId="0" fontId="35" fillId="0" borderId="28" xfId="0" applyFont="1" applyBorder="1" applyAlignment="1">
      <alignment horizontal="center"/>
    </xf>
    <xf numFmtId="0" fontId="33" fillId="27" borderId="59" xfId="0" applyFont="1" applyFill="1" applyBorder="1"/>
    <xf numFmtId="3" fontId="34" fillId="27" borderId="27" xfId="0" applyNumberFormat="1" applyFont="1" applyFill="1" applyBorder="1"/>
    <xf numFmtId="3" fontId="39" fillId="0" borderId="55" xfId="0" applyNumberFormat="1" applyFont="1" applyBorder="1"/>
    <xf numFmtId="0" fontId="39" fillId="0" borderId="0" xfId="0" applyFont="1"/>
    <xf numFmtId="3" fontId="33" fillId="27" borderId="0" xfId="0" applyNumberFormat="1" applyFont="1" applyFill="1" applyAlignment="1">
      <alignment horizontal="right"/>
    </xf>
    <xf numFmtId="0" fontId="36" fillId="0" borderId="0" xfId="0" applyFont="1" applyAlignment="1">
      <alignment horizontal="center"/>
    </xf>
    <xf numFmtId="0" fontId="33" fillId="0" borderId="30" xfId="0" applyFont="1" applyBorder="1" applyAlignment="1">
      <alignment horizontal="center"/>
    </xf>
    <xf numFmtId="0" fontId="36" fillId="0" borderId="27" xfId="0" applyFont="1" applyBorder="1" applyAlignment="1">
      <alignment horizontal="center"/>
    </xf>
    <xf numFmtId="3" fontId="34" fillId="0" borderId="26" xfId="0" applyNumberFormat="1" applyFont="1" applyBorder="1"/>
    <xf numFmtId="0" fontId="44" fillId="0" borderId="27" xfId="0" applyFont="1" applyBorder="1" applyAlignment="1">
      <alignment horizontal="left"/>
    </xf>
    <xf numFmtId="3" fontId="37" fillId="0" borderId="27" xfId="0" applyNumberFormat="1" applyFont="1" applyBorder="1" applyAlignment="1">
      <alignment horizontal="left"/>
    </xf>
    <xf numFmtId="3" fontId="34" fillId="0" borderId="22" xfId="0" applyNumberFormat="1" applyFont="1" applyBorder="1" applyAlignment="1">
      <alignment wrapText="1"/>
    </xf>
    <xf numFmtId="0" fontId="33" fillId="0" borderId="34" xfId="0" applyFont="1" applyBorder="1"/>
    <xf numFmtId="0" fontId="35" fillId="0" borderId="38" xfId="0" applyFont="1" applyBorder="1"/>
    <xf numFmtId="0" fontId="33" fillId="0" borderId="22" xfId="0" applyFont="1" applyBorder="1" applyAlignment="1">
      <alignment horizontal="justify"/>
    </xf>
    <xf numFmtId="3" fontId="33" fillId="0" borderId="60" xfId="51" applyNumberFormat="1" applyFont="1" applyBorder="1" applyAlignment="1">
      <alignment horizontal="justify" wrapText="1"/>
    </xf>
    <xf numFmtId="3" fontId="33" fillId="0" borderId="34" xfId="51" applyNumberFormat="1" applyFont="1" applyBorder="1" applyAlignment="1">
      <alignment horizontal="justify" vertical="top" wrapText="1"/>
    </xf>
    <xf numFmtId="0" fontId="35" fillId="0" borderId="42" xfId="0" applyFont="1" applyBorder="1"/>
    <xf numFmtId="3" fontId="39" fillId="0" borderId="49" xfId="0" applyNumberFormat="1" applyFont="1" applyBorder="1" applyAlignment="1">
      <alignment horizontal="center"/>
    </xf>
    <xf numFmtId="3" fontId="33" fillId="0" borderId="22" xfId="51" applyNumberFormat="1" applyFont="1" applyBorder="1" applyAlignment="1">
      <alignment horizontal="justify" vertical="top" wrapText="1"/>
    </xf>
    <xf numFmtId="3" fontId="34" fillId="0" borderId="22" xfId="51" applyNumberFormat="1" applyFont="1" applyBorder="1" applyAlignment="1">
      <alignment horizontal="right" wrapText="1"/>
    </xf>
    <xf numFmtId="3" fontId="33" fillId="0" borderId="60" xfId="51" applyNumberFormat="1" applyFont="1" applyBorder="1" applyAlignment="1">
      <alignment horizontal="justify" vertical="top" wrapText="1"/>
    </xf>
    <xf numFmtId="3" fontId="33" fillId="0" borderId="59" xfId="51" applyNumberFormat="1" applyFont="1" applyBorder="1" applyAlignment="1">
      <alignment horizontal="justify" vertical="top" wrapText="1"/>
    </xf>
    <xf numFmtId="0" fontId="35" fillId="27" borderId="38" xfId="0" applyFont="1" applyFill="1" applyBorder="1"/>
    <xf numFmtId="3" fontId="34" fillId="0" borderId="35" xfId="0" applyNumberFormat="1" applyFont="1" applyBorder="1" applyAlignment="1">
      <alignment horizontal="right"/>
    </xf>
    <xf numFmtId="0" fontId="35" fillId="0" borderId="44" xfId="0" applyFont="1" applyBorder="1"/>
    <xf numFmtId="3" fontId="39" fillId="0" borderId="44" xfId="0" applyNumberFormat="1" applyFont="1" applyBorder="1"/>
    <xf numFmtId="0" fontId="35" fillId="0" borderId="19" xfId="0" applyFont="1" applyBorder="1"/>
    <xf numFmtId="3" fontId="39" fillId="0" borderId="19" xfId="0" applyNumberFormat="1" applyFont="1" applyBorder="1"/>
    <xf numFmtId="0" fontId="36" fillId="0" borderId="38" xfId="0" applyFont="1" applyBorder="1"/>
    <xf numFmtId="0" fontId="35" fillId="0" borderId="0" xfId="0" applyFont="1" applyAlignment="1">
      <alignment horizontal="center" wrapText="1"/>
    </xf>
    <xf numFmtId="0" fontId="33" fillId="0" borderId="0" xfId="0" applyFont="1" applyAlignment="1">
      <alignment wrapText="1"/>
    </xf>
    <xf numFmtId="3" fontId="33" fillId="0" borderId="0" xfId="0" applyNumberFormat="1" applyFont="1" applyAlignment="1">
      <alignment horizontal="right" wrapText="1"/>
    </xf>
    <xf numFmtId="0" fontId="35" fillId="0" borderId="26" xfId="0" applyFont="1" applyBorder="1" applyAlignment="1">
      <alignment horizontal="center" wrapText="1"/>
    </xf>
    <xf numFmtId="0" fontId="35" fillId="0" borderId="30" xfId="0" applyFont="1" applyBorder="1" applyAlignment="1">
      <alignment horizontal="center" wrapText="1"/>
    </xf>
    <xf numFmtId="3" fontId="33" fillId="0" borderId="0" xfId="0" applyNumberFormat="1" applyFont="1" applyAlignment="1">
      <alignment wrapText="1"/>
    </xf>
    <xf numFmtId="0" fontId="33" fillId="27" borderId="32" xfId="0" applyFont="1" applyFill="1" applyBorder="1" applyAlignment="1">
      <alignment horizontal="justify" wrapText="1"/>
    </xf>
    <xf numFmtId="0" fontId="44" fillId="0" borderId="24" xfId="0" applyFont="1" applyBorder="1" applyAlignment="1">
      <alignment wrapText="1"/>
    </xf>
    <xf numFmtId="0" fontId="37" fillId="0" borderId="24" xfId="0" applyFont="1" applyBorder="1" applyAlignment="1">
      <alignment wrapText="1"/>
    </xf>
    <xf numFmtId="0" fontId="37" fillId="0" borderId="26" xfId="0" applyFont="1" applyBorder="1" applyAlignment="1">
      <alignment wrapText="1"/>
    </xf>
    <xf numFmtId="3" fontId="34" fillId="27" borderId="22" xfId="0" applyNumberFormat="1" applyFont="1" applyFill="1" applyBorder="1" applyAlignment="1">
      <alignment wrapText="1"/>
    </xf>
    <xf numFmtId="0" fontId="33" fillId="0" borderId="59" xfId="0" applyFont="1" applyBorder="1" applyAlignment="1">
      <alignment wrapText="1"/>
    </xf>
    <xf numFmtId="0" fontId="33" fillId="0" borderId="35" xfId="0" applyFont="1" applyBorder="1" applyAlignment="1">
      <alignment horizontal="justify" wrapText="1"/>
    </xf>
    <xf numFmtId="0" fontId="33" fillId="0" borderId="32" xfId="0" applyFont="1" applyBorder="1" applyAlignment="1">
      <alignment horizontal="justify" wrapText="1"/>
    </xf>
    <xf numFmtId="3" fontId="34" fillId="0" borderId="27" xfId="0" applyNumberFormat="1" applyFont="1" applyBorder="1" applyAlignment="1">
      <alignment wrapText="1"/>
    </xf>
    <xf numFmtId="0" fontId="35" fillId="0" borderId="55" xfId="0" applyFont="1" applyBorder="1" applyAlignment="1">
      <alignment wrapText="1"/>
    </xf>
    <xf numFmtId="3" fontId="39" fillId="0" borderId="42" xfId="0" applyNumberFormat="1" applyFont="1" applyBorder="1" applyAlignment="1">
      <alignment wrapText="1"/>
    </xf>
    <xf numFmtId="0" fontId="35" fillId="0" borderId="28" xfId="0" applyFont="1" applyBorder="1" applyAlignment="1">
      <alignment wrapText="1"/>
    </xf>
    <xf numFmtId="3" fontId="39" fillId="0" borderId="38" xfId="0" applyNumberFormat="1" applyFont="1" applyBorder="1" applyAlignment="1">
      <alignment wrapText="1"/>
    </xf>
    <xf numFmtId="0" fontId="35" fillId="0" borderId="0" xfId="0" applyFont="1" applyAlignment="1">
      <alignment wrapText="1"/>
    </xf>
    <xf numFmtId="0" fontId="35" fillId="0" borderId="24" xfId="0" applyFont="1" applyBorder="1" applyAlignment="1">
      <alignment horizontal="center" wrapText="1"/>
    </xf>
    <xf numFmtId="0" fontId="35" fillId="0" borderId="28" xfId="0" applyFont="1" applyBorder="1" applyAlignment="1">
      <alignment horizontal="center" wrapText="1"/>
    </xf>
    <xf numFmtId="3" fontId="34" fillId="0" borderId="22" xfId="0" applyNumberFormat="1" applyFont="1" applyBorder="1" applyAlignment="1">
      <alignment horizontal="right" wrapText="1"/>
    </xf>
    <xf numFmtId="0" fontId="35" fillId="0" borderId="44" xfId="0" applyFont="1" applyBorder="1" applyAlignment="1">
      <alignment wrapText="1"/>
    </xf>
    <xf numFmtId="0" fontId="39" fillId="0" borderId="41" xfId="0" applyFont="1" applyBorder="1" applyAlignment="1">
      <alignment wrapText="1"/>
    </xf>
    <xf numFmtId="0" fontId="36" fillId="0" borderId="44" xfId="0" applyFont="1" applyBorder="1" applyAlignment="1">
      <alignment wrapText="1"/>
    </xf>
    <xf numFmtId="3" fontId="39" fillId="0" borderId="45" xfId="0" applyNumberFormat="1" applyFont="1" applyBorder="1" applyAlignment="1">
      <alignment wrapText="1"/>
    </xf>
    <xf numFmtId="3" fontId="33" fillId="27" borderId="0" xfId="0" applyNumberFormat="1" applyFont="1" applyFill="1" applyAlignment="1">
      <alignment horizontal="right" wrapText="1"/>
    </xf>
    <xf numFmtId="0" fontId="33" fillId="27" borderId="32" xfId="0" applyFont="1" applyFill="1" applyBorder="1" applyAlignment="1">
      <alignment horizontal="justify"/>
    </xf>
    <xf numFmtId="0" fontId="33" fillId="27" borderId="31" xfId="0" applyFont="1" applyFill="1" applyBorder="1"/>
    <xf numFmtId="0" fontId="33" fillId="0" borderId="34" xfId="0" applyFont="1" applyBorder="1" applyAlignment="1">
      <alignment wrapText="1"/>
    </xf>
    <xf numFmtId="0" fontId="35" fillId="0" borderId="55" xfId="0" applyFont="1" applyBorder="1" applyAlignment="1">
      <alignment horizontal="left"/>
    </xf>
    <xf numFmtId="0" fontId="35" fillId="0" borderId="28" xfId="0" applyFont="1" applyBorder="1" applyAlignment="1">
      <alignment horizontal="left"/>
    </xf>
    <xf numFmtId="3" fontId="34" fillId="27" borderId="27" xfId="0" applyNumberFormat="1" applyFont="1" applyFill="1" applyBorder="1" applyAlignment="1">
      <alignment horizontal="right"/>
    </xf>
    <xf numFmtId="0" fontId="34" fillId="0" borderId="32" xfId="0" applyFont="1" applyBorder="1"/>
    <xf numFmtId="3" fontId="34" fillId="0" borderId="61" xfId="0" applyNumberFormat="1" applyFont="1" applyBorder="1"/>
    <xf numFmtId="0" fontId="35" fillId="0" borderId="28" xfId="0" applyFont="1" applyBorder="1"/>
    <xf numFmtId="3" fontId="39" fillId="0" borderId="62" xfId="0" applyNumberFormat="1" applyFont="1" applyBorder="1"/>
    <xf numFmtId="3" fontId="33" fillId="27" borderId="0" xfId="0" applyNumberFormat="1" applyFont="1" applyFill="1"/>
    <xf numFmtId="0" fontId="33" fillId="0" borderId="0" xfId="0" applyFont="1" applyAlignment="1">
      <alignment horizontal="center" wrapText="1"/>
    </xf>
    <xf numFmtId="0" fontId="31" fillId="0" borderId="0" xfId="0" applyFont="1" applyAlignment="1">
      <alignment horizontal="left" wrapText="1"/>
    </xf>
    <xf numFmtId="0" fontId="45" fillId="0" borderId="0" xfId="0" applyFont="1" applyAlignment="1">
      <alignment horizontal="right" wrapText="1"/>
    </xf>
    <xf numFmtId="3" fontId="32" fillId="0" borderId="0" xfId="0" applyNumberFormat="1" applyFont="1" applyAlignment="1">
      <alignment horizontal="right" wrapText="1"/>
    </xf>
    <xf numFmtId="0" fontId="33" fillId="0" borderId="30" xfId="0" applyFont="1" applyBorder="1" applyAlignment="1">
      <alignment horizontal="left" wrapText="1"/>
    </xf>
    <xf numFmtId="3" fontId="34" fillId="0" borderId="35" xfId="0" applyNumberFormat="1" applyFont="1" applyBorder="1" applyAlignment="1">
      <alignment horizontal="right" wrapText="1"/>
    </xf>
    <xf numFmtId="3" fontId="39" fillId="0" borderId="38" xfId="0" applyNumberFormat="1" applyFont="1" applyBorder="1" applyAlignment="1">
      <alignment horizontal="right" wrapText="1"/>
    </xf>
    <xf numFmtId="0" fontId="33" fillId="27" borderId="22" xfId="0" applyFont="1" applyFill="1" applyBorder="1" applyAlignment="1">
      <alignment horizontal="left" wrapText="1"/>
    </xf>
    <xf numFmtId="3" fontId="34" fillId="27" borderId="27" xfId="0" applyNumberFormat="1" applyFont="1" applyFill="1" applyBorder="1" applyAlignment="1">
      <alignment horizontal="right" wrapText="1"/>
    </xf>
    <xf numFmtId="0" fontId="35" fillId="0" borderId="42" xfId="0" applyFont="1" applyBorder="1" applyAlignment="1">
      <alignment horizontal="left" wrapText="1"/>
    </xf>
    <xf numFmtId="0" fontId="46" fillId="0" borderId="27" xfId="0" applyFont="1" applyBorder="1" applyAlignment="1">
      <alignment horizontal="left" wrapText="1"/>
    </xf>
    <xf numFmtId="0" fontId="47" fillId="0" borderId="27" xfId="0" applyFont="1" applyBorder="1" applyAlignment="1">
      <alignment horizontal="right" wrapText="1"/>
    </xf>
    <xf numFmtId="3" fontId="34" fillId="27" borderId="22" xfId="0" applyNumberFormat="1" applyFont="1" applyFill="1" applyBorder="1" applyAlignment="1">
      <alignment horizontal="right" wrapText="1"/>
    </xf>
    <xf numFmtId="0" fontId="33" fillId="27" borderId="34" xfId="0" applyFont="1" applyFill="1" applyBorder="1" applyAlignment="1">
      <alignment horizontal="left" wrapText="1"/>
    </xf>
    <xf numFmtId="0" fontId="33" fillId="27" borderId="27" xfId="0" applyFont="1" applyFill="1" applyBorder="1" applyAlignment="1">
      <alignment horizontal="left" wrapText="1"/>
    </xf>
    <xf numFmtId="0" fontId="35" fillId="0" borderId="51" xfId="0" applyFont="1" applyBorder="1" applyAlignment="1">
      <alignment horizontal="left" wrapText="1"/>
    </xf>
    <xf numFmtId="3" fontId="39" fillId="0" borderId="51" xfId="0" applyNumberFormat="1" applyFont="1" applyBorder="1" applyAlignment="1">
      <alignment horizontal="right" wrapText="1"/>
    </xf>
    <xf numFmtId="0" fontId="46" fillId="0" borderId="49" xfId="0" applyFont="1" applyBorder="1" applyAlignment="1">
      <alignment horizontal="left" wrapText="1"/>
    </xf>
    <xf numFmtId="0" fontId="33" fillId="0" borderId="22" xfId="0" applyFont="1" applyBorder="1" applyAlignment="1">
      <alignment horizontal="left" wrapText="1"/>
    </xf>
    <xf numFmtId="0" fontId="33" fillId="0" borderId="34" xfId="0" applyFont="1" applyBorder="1" applyAlignment="1">
      <alignment horizontal="left" wrapText="1"/>
    </xf>
    <xf numFmtId="0" fontId="33" fillId="0" borderId="34" xfId="0" applyFont="1" applyBorder="1" applyAlignment="1">
      <alignment horizontal="left" wrapText="1" shrinkToFit="1"/>
    </xf>
    <xf numFmtId="0" fontId="48" fillId="0" borderId="27" xfId="0" applyFont="1" applyBorder="1" applyAlignment="1">
      <alignment horizontal="left" wrapText="1"/>
    </xf>
    <xf numFmtId="3" fontId="34" fillId="0" borderId="27" xfId="0" applyNumberFormat="1" applyFont="1" applyBorder="1" applyAlignment="1">
      <alignment horizontal="right" wrapText="1"/>
    </xf>
    <xf numFmtId="0" fontId="33" fillId="0" borderId="35" xfId="0" applyFont="1" applyBorder="1" applyAlignment="1">
      <alignment horizontal="left" wrapText="1"/>
    </xf>
    <xf numFmtId="0" fontId="33" fillId="0" borderId="19" xfId="0" applyFont="1" applyBorder="1" applyAlignment="1">
      <alignment horizontal="left" wrapText="1"/>
    </xf>
    <xf numFmtId="0" fontId="46" fillId="0" borderId="35" xfId="0" applyFont="1" applyBorder="1" applyAlignment="1">
      <alignment horizontal="left" wrapText="1"/>
    </xf>
    <xf numFmtId="0" fontId="46" fillId="0" borderId="26" xfId="0" applyFont="1" applyBorder="1" applyAlignment="1">
      <alignment horizontal="left" wrapText="1"/>
    </xf>
    <xf numFmtId="0" fontId="33" fillId="0" borderId="22" xfId="0" applyFont="1" applyBorder="1" applyAlignment="1">
      <alignment horizontal="left" wrapText="1" shrinkToFit="1"/>
    </xf>
    <xf numFmtId="0" fontId="35" fillId="0" borderId="30" xfId="0" applyFont="1" applyBorder="1" applyAlignment="1">
      <alignment horizontal="left" wrapText="1"/>
    </xf>
    <xf numFmtId="3" fontId="39" fillId="0" borderId="30" xfId="0" applyNumberFormat="1" applyFont="1" applyBorder="1" applyAlignment="1">
      <alignment horizontal="right" wrapText="1"/>
    </xf>
    <xf numFmtId="0" fontId="44" fillId="0" borderId="0" xfId="0" applyFont="1" applyAlignment="1">
      <alignment horizontal="center" wrapText="1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right" wrapText="1"/>
    </xf>
    <xf numFmtId="0" fontId="49" fillId="0" borderId="0" xfId="0" applyFont="1" applyAlignment="1">
      <alignment horizontal="right" wrapText="1"/>
    </xf>
    <xf numFmtId="3" fontId="49" fillId="0" borderId="0" xfId="0" applyNumberFormat="1" applyFont="1" applyAlignment="1">
      <alignment horizontal="right" wrapText="1"/>
    </xf>
    <xf numFmtId="0" fontId="33" fillId="0" borderId="28" xfId="0" applyFont="1" applyBorder="1" applyAlignment="1">
      <alignment horizontal="left" wrapText="1"/>
    </xf>
    <xf numFmtId="0" fontId="35" fillId="0" borderId="44" xfId="0" applyFont="1" applyBorder="1" applyAlignment="1">
      <alignment horizontal="left" wrapText="1"/>
    </xf>
    <xf numFmtId="0" fontId="34" fillId="0" borderId="0" xfId="0" applyFont="1" applyAlignment="1">
      <alignment horizontal="right" wrapText="1"/>
    </xf>
    <xf numFmtId="0" fontId="36" fillId="0" borderId="44" xfId="0" applyFont="1" applyBorder="1" applyAlignment="1">
      <alignment horizontal="left" wrapText="1"/>
    </xf>
    <xf numFmtId="3" fontId="32" fillId="27" borderId="0" xfId="0" applyNumberFormat="1" applyFont="1" applyFill="1" applyAlignment="1">
      <alignment horizontal="right" wrapText="1"/>
    </xf>
    <xf numFmtId="3" fontId="50" fillId="0" borderId="0" xfId="0" applyNumberFormat="1" applyFont="1"/>
    <xf numFmtId="0" fontId="33" fillId="0" borderId="0" xfId="0" applyFont="1" applyAlignment="1">
      <alignment horizontal="right"/>
    </xf>
    <xf numFmtId="0" fontId="32" fillId="27" borderId="58" xfId="0" applyFont="1" applyFill="1" applyBorder="1"/>
    <xf numFmtId="3" fontId="34" fillId="27" borderId="22" xfId="0" applyNumberFormat="1" applyFont="1" applyFill="1" applyBorder="1" applyProtection="1">
      <protection locked="0"/>
    </xf>
    <xf numFmtId="0" fontId="32" fillId="27" borderId="63" xfId="0" applyFont="1" applyFill="1" applyBorder="1"/>
    <xf numFmtId="0" fontId="32" fillId="0" borderId="32" xfId="0" applyFont="1" applyBorder="1" applyAlignment="1">
      <alignment wrapText="1"/>
    </xf>
    <xf numFmtId="0" fontId="32" fillId="27" borderId="32" xfId="0" applyFont="1" applyFill="1" applyBorder="1"/>
    <xf numFmtId="0" fontId="31" fillId="0" borderId="44" xfId="0" applyFont="1" applyBorder="1" applyAlignment="1">
      <alignment horizontal="left"/>
    </xf>
    <xf numFmtId="3" fontId="34" fillId="0" borderId="58" xfId="0" applyNumberFormat="1" applyFont="1" applyBorder="1" applyProtection="1">
      <protection locked="0"/>
    </xf>
    <xf numFmtId="0" fontId="33" fillId="27" borderId="0" xfId="0" applyFont="1" applyFill="1"/>
    <xf numFmtId="3" fontId="35" fillId="0" borderId="26" xfId="0" applyNumberFormat="1" applyFont="1" applyBorder="1" applyAlignment="1">
      <alignment horizontal="center" wrapText="1"/>
    </xf>
    <xf numFmtId="3" fontId="35" fillId="0" borderId="30" xfId="0" applyNumberFormat="1" applyFont="1" applyBorder="1" applyAlignment="1">
      <alignment horizontal="center" wrapText="1"/>
    </xf>
    <xf numFmtId="3" fontId="33" fillId="27" borderId="22" xfId="0" applyNumberFormat="1" applyFont="1" applyFill="1" applyBorder="1" applyProtection="1">
      <protection locked="0"/>
    </xf>
    <xf numFmtId="3" fontId="34" fillId="27" borderId="34" xfId="0" applyNumberFormat="1" applyFont="1" applyFill="1" applyBorder="1" applyProtection="1">
      <protection locked="0"/>
    </xf>
    <xf numFmtId="3" fontId="34" fillId="27" borderId="34" xfId="46" applyNumberFormat="1" applyFont="1" applyFill="1" applyBorder="1" applyProtection="1">
      <protection locked="0"/>
    </xf>
    <xf numFmtId="0" fontId="33" fillId="27" borderId="32" xfId="0" applyFont="1" applyFill="1" applyBorder="1" applyAlignment="1">
      <alignment horizontal="left"/>
    </xf>
    <xf numFmtId="0" fontId="33" fillId="27" borderId="32" xfId="0" applyFont="1" applyFill="1" applyBorder="1" applyAlignment="1">
      <alignment horizontal="left" vertical="center" wrapText="1"/>
    </xf>
    <xf numFmtId="0" fontId="33" fillId="27" borderId="32" xfId="0" applyFont="1" applyFill="1" applyBorder="1" applyAlignment="1">
      <alignment horizontal="left" wrapText="1"/>
    </xf>
    <xf numFmtId="3" fontId="34" fillId="27" borderId="27" xfId="0" applyNumberFormat="1" applyFont="1" applyFill="1" applyBorder="1" applyProtection="1">
      <protection locked="0"/>
    </xf>
    <xf numFmtId="3" fontId="34" fillId="27" borderId="27" xfId="46" applyNumberFormat="1" applyFont="1" applyFill="1" applyBorder="1" applyProtection="1">
      <protection locked="0"/>
    </xf>
    <xf numFmtId="0" fontId="36" fillId="0" borderId="44" xfId="0" applyFont="1" applyBorder="1" applyAlignment="1">
      <alignment horizontal="left"/>
    </xf>
    <xf numFmtId="3" fontId="32" fillId="27" borderId="0" xfId="0" applyNumberFormat="1" applyFont="1" applyFill="1" applyProtection="1">
      <protection locked="0"/>
    </xf>
    <xf numFmtId="0" fontId="33" fillId="0" borderId="0" xfId="48" applyFont="1"/>
    <xf numFmtId="0" fontId="51" fillId="0" borderId="0" xfId="48" applyFont="1"/>
    <xf numFmtId="0" fontId="33" fillId="0" borderId="24" xfId="48" applyFont="1" applyBorder="1"/>
    <xf numFmtId="0" fontId="35" fillId="0" borderId="25" xfId="48" applyFont="1" applyBorder="1" applyAlignment="1">
      <alignment horizontal="center"/>
    </xf>
    <xf numFmtId="0" fontId="33" fillId="0" borderId="28" xfId="48" applyFont="1" applyBorder="1"/>
    <xf numFmtId="0" fontId="33" fillId="0" borderId="29" xfId="48" applyFont="1" applyBorder="1" applyAlignment="1">
      <alignment horizontal="center"/>
    </xf>
    <xf numFmtId="0" fontId="35" fillId="0" borderId="24" xfId="48" applyFont="1" applyBorder="1"/>
    <xf numFmtId="0" fontId="33" fillId="0" borderId="25" xfId="48" applyFont="1" applyBorder="1" applyAlignment="1">
      <alignment horizontal="center"/>
    </xf>
    <xf numFmtId="0" fontId="33" fillId="0" borderId="26" xfId="48" applyFont="1" applyBorder="1" applyAlignment="1">
      <alignment horizontal="center"/>
    </xf>
    <xf numFmtId="3" fontId="34" fillId="0" borderId="22" xfId="48" applyNumberFormat="1" applyFont="1" applyBorder="1"/>
    <xf numFmtId="3" fontId="34" fillId="0" borderId="34" xfId="48" applyNumberFormat="1" applyFont="1" applyBorder="1"/>
    <xf numFmtId="0" fontId="35" fillId="0" borderId="28" xfId="48" applyFont="1" applyBorder="1"/>
    <xf numFmtId="3" fontId="39" fillId="0" borderId="38" xfId="48" applyNumberFormat="1" applyFont="1" applyBorder="1"/>
    <xf numFmtId="0" fontId="33" fillId="0" borderId="20" xfId="48" applyFont="1" applyBorder="1" applyAlignment="1">
      <alignment horizontal="justify"/>
    </xf>
    <xf numFmtId="0" fontId="35" fillId="0" borderId="44" xfId="48" applyFont="1" applyBorder="1"/>
    <xf numFmtId="0" fontId="33" fillId="0" borderId="41" xfId="48" applyFont="1" applyBorder="1" applyAlignment="1">
      <alignment horizontal="center"/>
    </xf>
    <xf numFmtId="0" fontId="35" fillId="0" borderId="64" xfId="48" applyFont="1" applyBorder="1" applyAlignment="1">
      <alignment horizontal="left"/>
    </xf>
    <xf numFmtId="0" fontId="35" fillId="0" borderId="48" xfId="48" applyFont="1" applyBorder="1" applyAlignment="1">
      <alignment horizontal="center"/>
    </xf>
    <xf numFmtId="0" fontId="35" fillId="0" borderId="26" xfId="48" applyFont="1" applyBorder="1" applyAlignment="1">
      <alignment horizontal="center"/>
    </xf>
    <xf numFmtId="0" fontId="35" fillId="0" borderId="19" xfId="48" applyFont="1" applyBorder="1" applyAlignment="1">
      <alignment horizontal="left"/>
    </xf>
    <xf numFmtId="0" fontId="35" fillId="0" borderId="0" xfId="48" applyFont="1" applyAlignment="1">
      <alignment horizontal="justify"/>
    </xf>
    <xf numFmtId="0" fontId="35" fillId="0" borderId="27" xfId="48" applyFont="1" applyBorder="1" applyAlignment="1">
      <alignment horizontal="justify"/>
    </xf>
    <xf numFmtId="0" fontId="33" fillId="0" borderId="20" xfId="48" applyFont="1" applyBorder="1" applyAlignment="1">
      <alignment horizontal="left"/>
    </xf>
    <xf numFmtId="0" fontId="35" fillId="0" borderId="65" xfId="48" applyFont="1" applyBorder="1" applyAlignment="1">
      <alignment horizontal="justify"/>
    </xf>
    <xf numFmtId="3" fontId="34" fillId="0" borderId="35" xfId="48" applyNumberFormat="1" applyFont="1" applyBorder="1"/>
    <xf numFmtId="0" fontId="35" fillId="0" borderId="35" xfId="48" applyFont="1" applyBorder="1" applyAlignment="1">
      <alignment horizontal="justify"/>
    </xf>
    <xf numFmtId="3" fontId="39" fillId="0" borderId="51" xfId="48" applyNumberFormat="1" applyFont="1" applyBorder="1"/>
    <xf numFmtId="0" fontId="35" fillId="0" borderId="49" xfId="48" applyFont="1" applyBorder="1" applyAlignment="1">
      <alignment horizontal="left"/>
    </xf>
    <xf numFmtId="0" fontId="33" fillId="0" borderId="33" xfId="0" applyFont="1" applyBorder="1" applyAlignment="1">
      <alignment horizontal="left"/>
    </xf>
    <xf numFmtId="3" fontId="34" fillId="0" borderId="34" xfId="48" applyNumberFormat="1" applyFont="1" applyBorder="1" applyAlignment="1">
      <alignment horizontal="right"/>
    </xf>
    <xf numFmtId="3" fontId="39" fillId="0" borderId="51" xfId="48" applyNumberFormat="1" applyFont="1" applyBorder="1" applyAlignment="1">
      <alignment horizontal="right"/>
    </xf>
    <xf numFmtId="3" fontId="39" fillId="0" borderId="42" xfId="48" applyNumberFormat="1" applyFont="1" applyBorder="1" applyAlignment="1">
      <alignment horizontal="right"/>
    </xf>
    <xf numFmtId="0" fontId="35" fillId="0" borderId="0" xfId="48" applyFont="1" applyAlignment="1">
      <alignment horizontal="center"/>
    </xf>
    <xf numFmtId="0" fontId="36" fillId="0" borderId="0" xfId="48" applyFont="1"/>
    <xf numFmtId="0" fontId="36" fillId="0" borderId="0" xfId="48" applyFont="1" applyAlignment="1">
      <alignment horizontal="center"/>
    </xf>
    <xf numFmtId="3" fontId="32" fillId="0" borderId="0" xfId="48" applyNumberFormat="1" applyFont="1"/>
    <xf numFmtId="0" fontId="36" fillId="0" borderId="28" xfId="48" applyFont="1" applyBorder="1" applyAlignment="1">
      <alignment horizontal="center"/>
    </xf>
    <xf numFmtId="0" fontId="36" fillId="0" borderId="29" xfId="48" applyFont="1" applyBorder="1" applyAlignment="1">
      <alignment horizontal="center"/>
    </xf>
    <xf numFmtId="0" fontId="36" fillId="0" borderId="19" xfId="48" applyFont="1" applyBorder="1" applyAlignment="1">
      <alignment horizontal="right"/>
    </xf>
    <xf numFmtId="0" fontId="36" fillId="0" borderId="25" xfId="48" applyFont="1" applyBorder="1"/>
    <xf numFmtId="0" fontId="39" fillId="0" borderId="26" xfId="48" applyFont="1" applyBorder="1"/>
    <xf numFmtId="0" fontId="32" fillId="0" borderId="19" xfId="48" applyFont="1" applyBorder="1" applyAlignment="1">
      <alignment horizontal="right"/>
    </xf>
    <xf numFmtId="3" fontId="34" fillId="25" borderId="34" xfId="48" applyNumberFormat="1" applyFont="1" applyFill="1" applyBorder="1" applyAlignment="1">
      <alignment horizontal="right"/>
    </xf>
    <xf numFmtId="0" fontId="32" fillId="0" borderId="66" xfId="48" applyFont="1" applyBorder="1" applyAlignment="1">
      <alignment horizontal="left" wrapText="1"/>
    </xf>
    <xf numFmtId="0" fontId="36" fillId="0" borderId="11" xfId="48" applyFont="1" applyBorder="1" applyAlignment="1">
      <alignment horizontal="right"/>
    </xf>
    <xf numFmtId="0" fontId="36" fillId="0" borderId="50" xfId="48" applyFont="1" applyBorder="1" applyAlignment="1">
      <alignment horizontal="center"/>
    </xf>
    <xf numFmtId="3" fontId="39" fillId="25" borderId="51" xfId="48" applyNumberFormat="1" applyFont="1" applyFill="1" applyBorder="1"/>
    <xf numFmtId="0" fontId="36" fillId="0" borderId="64" xfId="48" applyFont="1" applyBorder="1" applyAlignment="1">
      <alignment horizontal="right"/>
    </xf>
    <xf numFmtId="0" fontId="36" fillId="0" borderId="48" xfId="48" applyFont="1" applyBorder="1"/>
    <xf numFmtId="3" fontId="39" fillId="0" borderId="49" xfId="48" applyNumberFormat="1" applyFont="1" applyBorder="1"/>
    <xf numFmtId="0" fontId="39" fillId="0" borderId="49" xfId="48" applyFont="1" applyBorder="1"/>
    <xf numFmtId="0" fontId="32" fillId="0" borderId="20" xfId="48" applyFont="1" applyBorder="1"/>
    <xf numFmtId="3" fontId="34" fillId="25" borderId="22" xfId="48" applyNumberFormat="1" applyFont="1" applyFill="1" applyBorder="1"/>
    <xf numFmtId="3" fontId="34" fillId="0" borderId="27" xfId="48" applyNumberFormat="1" applyFont="1" applyBorder="1"/>
    <xf numFmtId="3" fontId="34" fillId="25" borderId="22" xfId="48" applyNumberFormat="1" applyFont="1" applyFill="1" applyBorder="1" applyAlignment="1">
      <alignment horizontal="right"/>
    </xf>
    <xf numFmtId="3" fontId="32" fillId="0" borderId="20" xfId="0" applyNumberFormat="1" applyFont="1" applyBorder="1" applyAlignment="1">
      <alignment horizontal="justify"/>
    </xf>
    <xf numFmtId="0" fontId="36" fillId="0" borderId="50" xfId="48" applyFont="1" applyBorder="1"/>
    <xf numFmtId="0" fontId="42" fillId="0" borderId="0" xfId="48" applyFont="1"/>
    <xf numFmtId="0" fontId="31" fillId="0" borderId="19" xfId="48" applyFont="1" applyBorder="1" applyAlignment="1">
      <alignment horizontal="left"/>
    </xf>
    <xf numFmtId="0" fontId="31" fillId="0" borderId="0" xfId="48" applyFont="1"/>
    <xf numFmtId="0" fontId="37" fillId="0" borderId="27" xfId="48" applyFont="1" applyBorder="1"/>
    <xf numFmtId="0" fontId="32" fillId="0" borderId="33" xfId="48" applyFont="1" applyBorder="1"/>
    <xf numFmtId="0" fontId="32" fillId="0" borderId="33" xfId="48" applyFont="1" applyBorder="1" applyAlignment="1">
      <alignment wrapText="1"/>
    </xf>
    <xf numFmtId="3" fontId="32" fillId="0" borderId="0" xfId="0" applyNumberFormat="1" applyFont="1" applyAlignment="1">
      <alignment horizontal="justify"/>
    </xf>
    <xf numFmtId="0" fontId="36" fillId="0" borderId="19" xfId="48" applyFont="1" applyBorder="1"/>
    <xf numFmtId="0" fontId="32" fillId="0" borderId="33" xfId="0" applyFont="1" applyBorder="1" applyAlignment="1">
      <alignment wrapText="1"/>
    </xf>
    <xf numFmtId="0" fontId="32" fillId="0" borderId="20" xfId="48" applyFont="1" applyBorder="1" applyAlignment="1">
      <alignment wrapText="1"/>
    </xf>
    <xf numFmtId="0" fontId="32" fillId="0" borderId="20" xfId="48" applyFont="1" applyBorder="1" applyAlignment="1">
      <alignment horizontal="left"/>
    </xf>
    <xf numFmtId="0" fontId="32" fillId="0" borderId="44" xfId="48" applyFont="1" applyBorder="1" applyAlignment="1">
      <alignment horizontal="right"/>
    </xf>
    <xf numFmtId="0" fontId="36" fillId="0" borderId="41" xfId="48" applyFont="1" applyBorder="1"/>
    <xf numFmtId="0" fontId="36" fillId="0" borderId="67" xfId="48" applyFont="1" applyBorder="1"/>
    <xf numFmtId="0" fontId="39" fillId="0" borderId="27" xfId="48" applyFont="1" applyBorder="1"/>
    <xf numFmtId="0" fontId="33" fillId="0" borderId="39" xfId="0" applyFont="1" applyBorder="1" applyAlignment="1">
      <alignment horizontal="left" wrapText="1"/>
    </xf>
    <xf numFmtId="0" fontId="36" fillId="0" borderId="28" xfId="48" applyFont="1" applyBorder="1" applyAlignment="1">
      <alignment horizontal="right"/>
    </xf>
    <xf numFmtId="3" fontId="39" fillId="0" borderId="30" xfId="48" applyNumberFormat="1" applyFont="1" applyBorder="1"/>
    <xf numFmtId="0" fontId="36" fillId="0" borderId="44" xfId="48" applyFont="1" applyBorder="1"/>
    <xf numFmtId="0" fontId="32" fillId="0" borderId="45" xfId="48" applyFont="1" applyBorder="1"/>
    <xf numFmtId="3" fontId="39" fillId="25" borderId="38" xfId="48" applyNumberFormat="1" applyFont="1" applyFill="1" applyBorder="1"/>
    <xf numFmtId="0" fontId="35" fillId="0" borderId="0" xfId="50" applyFont="1" applyAlignment="1">
      <alignment horizontal="center"/>
    </xf>
    <xf numFmtId="0" fontId="33" fillId="0" borderId="0" xfId="50" applyFont="1"/>
    <xf numFmtId="3" fontId="33" fillId="0" borderId="0" xfId="50" applyNumberFormat="1" applyFont="1"/>
    <xf numFmtId="0" fontId="35" fillId="0" borderId="24" xfId="50" applyFont="1" applyBorder="1" applyAlignment="1">
      <alignment horizontal="center"/>
    </xf>
    <xf numFmtId="0" fontId="33" fillId="0" borderId="26" xfId="50" applyFont="1" applyBorder="1" applyAlignment="1">
      <alignment horizontal="center"/>
    </xf>
    <xf numFmtId="0" fontId="33" fillId="0" borderId="19" xfId="50" applyFont="1" applyBorder="1"/>
    <xf numFmtId="0" fontId="33" fillId="0" borderId="27" xfId="50" applyFont="1" applyBorder="1" applyAlignment="1">
      <alignment horizontal="center"/>
    </xf>
    <xf numFmtId="0" fontId="33" fillId="0" borderId="28" xfId="50" applyFont="1" applyBorder="1"/>
    <xf numFmtId="0" fontId="33" fillId="0" borderId="30" xfId="50" applyFont="1" applyBorder="1" applyAlignment="1">
      <alignment horizontal="center" vertical="center" wrapText="1"/>
    </xf>
    <xf numFmtId="3" fontId="35" fillId="0" borderId="0" xfId="50" applyNumberFormat="1" applyFont="1"/>
    <xf numFmtId="0" fontId="35" fillId="0" borderId="0" xfId="50" applyFont="1"/>
    <xf numFmtId="0" fontId="36" fillId="0" borderId="44" xfId="50" applyFont="1" applyBorder="1" applyAlignment="1">
      <alignment horizontal="justify"/>
    </xf>
    <xf numFmtId="3" fontId="36" fillId="0" borderId="38" xfId="50" applyNumberFormat="1" applyFont="1" applyBorder="1"/>
    <xf numFmtId="0" fontId="32" fillId="0" borderId="19" xfId="50" applyFont="1" applyBorder="1" applyAlignment="1">
      <alignment horizontal="justify"/>
    </xf>
    <xf numFmtId="3" fontId="32" fillId="0" borderId="36" xfId="50" applyNumberFormat="1" applyFont="1" applyBorder="1"/>
    <xf numFmtId="3" fontId="32" fillId="0" borderId="27" xfId="50" applyNumberFormat="1" applyFont="1" applyBorder="1"/>
    <xf numFmtId="0" fontId="36" fillId="0" borderId="44" xfId="50" applyFont="1" applyBorder="1"/>
    <xf numFmtId="2" fontId="33" fillId="0" borderId="0" xfId="50" applyNumberFormat="1" applyFont="1"/>
    <xf numFmtId="0" fontId="52" fillId="0" borderId="0" xfId="50" applyFont="1"/>
    <xf numFmtId="3" fontId="52" fillId="0" borderId="0" xfId="50" applyNumberFormat="1" applyFont="1"/>
    <xf numFmtId="3" fontId="32" fillId="0" borderId="0" xfId="50" applyNumberFormat="1" applyFont="1"/>
    <xf numFmtId="0" fontId="36" fillId="0" borderId="24" xfId="50" applyFont="1" applyBorder="1" applyAlignment="1">
      <alignment horizontal="justify"/>
    </xf>
    <xf numFmtId="0" fontId="33" fillId="0" borderId="24" xfId="0" applyFont="1" applyBorder="1" applyAlignment="1">
      <alignment horizontal="center"/>
    </xf>
    <xf numFmtId="0" fontId="33" fillId="0" borderId="68" xfId="0" applyFont="1" applyBorder="1" applyAlignment="1">
      <alignment horizontal="center" wrapText="1"/>
    </xf>
    <xf numFmtId="0" fontId="33" fillId="0" borderId="16" xfId="0" applyFont="1" applyBorder="1" applyAlignment="1">
      <alignment horizontal="center" wrapText="1"/>
    </xf>
    <xf numFmtId="0" fontId="35" fillId="0" borderId="69" xfId="0" applyFont="1" applyBorder="1"/>
    <xf numFmtId="0" fontId="33" fillId="0" borderId="69" xfId="0" applyFont="1" applyBorder="1"/>
    <xf numFmtId="0" fontId="33" fillId="0" borderId="17" xfId="0" applyFont="1" applyBorder="1"/>
    <xf numFmtId="4" fontId="33" fillId="0" borderId="0" xfId="0" applyNumberFormat="1" applyFont="1"/>
    <xf numFmtId="3" fontId="32" fillId="0" borderId="23" xfId="0" applyNumberFormat="1" applyFont="1" applyBorder="1"/>
    <xf numFmtId="3" fontId="32" fillId="0" borderId="47" xfId="0" applyNumberFormat="1" applyFont="1" applyBorder="1" applyAlignment="1">
      <alignment horizontal="right"/>
    </xf>
    <xf numFmtId="3" fontId="32" fillId="0" borderId="10" xfId="0" applyNumberFormat="1" applyFont="1" applyBorder="1"/>
    <xf numFmtId="3" fontId="32" fillId="0" borderId="11" xfId="0" applyNumberFormat="1" applyFont="1" applyBorder="1"/>
    <xf numFmtId="3" fontId="32" fillId="0" borderId="13" xfId="0" applyNumberFormat="1" applyFont="1" applyBorder="1"/>
    <xf numFmtId="3" fontId="32" fillId="0" borderId="55" xfId="0" applyNumberFormat="1" applyFont="1" applyBorder="1"/>
    <xf numFmtId="3" fontId="32" fillId="0" borderId="70" xfId="0" applyNumberFormat="1" applyFont="1" applyBorder="1"/>
    <xf numFmtId="3" fontId="32" fillId="0" borderId="70" xfId="0" applyNumberFormat="1" applyFont="1" applyBorder="1" applyAlignment="1">
      <alignment horizontal="right"/>
    </xf>
    <xf numFmtId="3" fontId="32" fillId="0" borderId="69" xfId="0" applyNumberFormat="1" applyFont="1" applyBorder="1"/>
    <xf numFmtId="3" fontId="36" fillId="0" borderId="69" xfId="0" applyNumberFormat="1" applyFont="1" applyBorder="1" applyAlignment="1">
      <alignment horizontal="right"/>
    </xf>
    <xf numFmtId="3" fontId="32" fillId="0" borderId="17" xfId="0" applyNumberFormat="1" applyFont="1" applyBorder="1"/>
    <xf numFmtId="165" fontId="33" fillId="0" borderId="0" xfId="36" applyNumberFormat="1" applyFont="1" applyFill="1"/>
    <xf numFmtId="0" fontId="53" fillId="0" borderId="0" xfId="0" applyFont="1"/>
    <xf numFmtId="0" fontId="54" fillId="0" borderId="0" xfId="50" applyFont="1"/>
    <xf numFmtId="0" fontId="35" fillId="0" borderId="0" xfId="50" applyFont="1" applyAlignment="1">
      <alignment horizontal="right"/>
    </xf>
    <xf numFmtId="0" fontId="35" fillId="0" borderId="26" xfId="50" applyFont="1" applyBorder="1" applyAlignment="1">
      <alignment horizontal="center"/>
    </xf>
    <xf numFmtId="0" fontId="35" fillId="0" borderId="67" xfId="50" applyFont="1" applyBorder="1" applyAlignment="1">
      <alignment horizontal="center"/>
    </xf>
    <xf numFmtId="0" fontId="35" fillId="0" borderId="27" xfId="50" applyFont="1" applyBorder="1" applyAlignment="1">
      <alignment horizontal="center"/>
    </xf>
    <xf numFmtId="0" fontId="35" fillId="0" borderId="39" xfId="50" applyFont="1" applyBorder="1" applyAlignment="1">
      <alignment horizontal="center"/>
    </xf>
    <xf numFmtId="0" fontId="35" fillId="0" borderId="30" xfId="50" applyFont="1" applyBorder="1" applyAlignment="1">
      <alignment horizontal="center"/>
    </xf>
    <xf numFmtId="0" fontId="35" fillId="0" borderId="30" xfId="50" applyFont="1" applyBorder="1" applyAlignment="1">
      <alignment horizontal="center" vertical="center" wrapText="1"/>
    </xf>
    <xf numFmtId="0" fontId="35" fillId="0" borderId="40" xfId="50" applyFont="1" applyBorder="1" applyAlignment="1">
      <alignment horizontal="center" vertical="center" wrapText="1"/>
    </xf>
    <xf numFmtId="0" fontId="35" fillId="0" borderId="40" xfId="50" applyFont="1" applyBorder="1" applyAlignment="1">
      <alignment horizontal="justify"/>
    </xf>
    <xf numFmtId="0" fontId="35" fillId="0" borderId="19" xfId="50" applyFont="1" applyBorder="1" applyAlignment="1">
      <alignment horizontal="center"/>
    </xf>
    <xf numFmtId="0" fontId="33" fillId="0" borderId="67" xfId="50" applyFont="1" applyBorder="1" applyAlignment="1">
      <alignment horizontal="center"/>
    </xf>
    <xf numFmtId="3" fontId="35" fillId="0" borderId="36" xfId="50" applyNumberFormat="1" applyFont="1" applyBorder="1" applyAlignment="1">
      <alignment horizontal="center"/>
    </xf>
    <xf numFmtId="0" fontId="32" fillId="0" borderId="23" xfId="49" applyFont="1" applyBorder="1"/>
    <xf numFmtId="3" fontId="33" fillId="0" borderId="36" xfId="50" applyNumberFormat="1" applyFont="1" applyBorder="1"/>
    <xf numFmtId="3" fontId="35" fillId="0" borderId="36" xfId="50" applyNumberFormat="1" applyFont="1" applyBorder="1"/>
    <xf numFmtId="3" fontId="35" fillId="0" borderId="27" xfId="50" applyNumberFormat="1" applyFont="1" applyBorder="1" applyAlignment="1">
      <alignment horizontal="center"/>
    </xf>
    <xf numFmtId="3" fontId="33" fillId="0" borderId="27" xfId="50" applyNumberFormat="1" applyFont="1" applyBorder="1"/>
    <xf numFmtId="3" fontId="35" fillId="0" borderId="51" xfId="50" applyNumberFormat="1" applyFont="1" applyBorder="1" applyAlignment="1">
      <alignment horizontal="center"/>
    </xf>
    <xf numFmtId="0" fontId="32" fillId="0" borderId="11" xfId="49" applyFont="1" applyBorder="1"/>
    <xf numFmtId="0" fontId="32" fillId="0" borderId="11" xfId="49" applyFont="1" applyBorder="1" applyAlignment="1">
      <alignment wrapText="1"/>
    </xf>
    <xf numFmtId="3" fontId="33" fillId="0" borderId="51" xfId="50" applyNumberFormat="1" applyFont="1" applyBorder="1"/>
    <xf numFmtId="3" fontId="35" fillId="0" borderId="49" xfId="50" applyNumberFormat="1" applyFont="1" applyBorder="1" applyAlignment="1">
      <alignment horizontal="center"/>
    </xf>
    <xf numFmtId="0" fontId="32" fillId="0" borderId="64" xfId="49" applyFont="1" applyBorder="1"/>
    <xf numFmtId="3" fontId="35" fillId="0" borderId="27" xfId="50" applyNumberFormat="1" applyFont="1" applyBorder="1"/>
    <xf numFmtId="3" fontId="35" fillId="0" borderId="38" xfId="50" applyNumberFormat="1" applyFont="1" applyBorder="1" applyAlignment="1">
      <alignment horizontal="center"/>
    </xf>
    <xf numFmtId="3" fontId="35" fillId="0" borderId="38" xfId="50" applyNumberFormat="1" applyFont="1" applyBorder="1"/>
    <xf numFmtId="3" fontId="35" fillId="0" borderId="71" xfId="50" applyNumberFormat="1" applyFont="1" applyBorder="1" applyAlignment="1">
      <alignment horizontal="center"/>
    </xf>
    <xf numFmtId="0" fontId="32" fillId="0" borderId="24" xfId="49" applyFont="1" applyBorder="1"/>
    <xf numFmtId="3" fontId="33" fillId="0" borderId="26" xfId="50" applyNumberFormat="1" applyFont="1" applyBorder="1"/>
    <xf numFmtId="0" fontId="32" fillId="0" borderId="19" xfId="49" applyFont="1" applyBorder="1"/>
    <xf numFmtId="0" fontId="36" fillId="0" borderId="19" xfId="50" applyFont="1" applyBorder="1" applyAlignment="1">
      <alignment horizontal="justify"/>
    </xf>
    <xf numFmtId="3" fontId="33" fillId="0" borderId="38" xfId="50" applyNumberFormat="1" applyFont="1" applyBorder="1"/>
    <xf numFmtId="3" fontId="33" fillId="0" borderId="39" xfId="50" applyNumberFormat="1" applyFont="1" applyBorder="1"/>
    <xf numFmtId="3" fontId="35" fillId="0" borderId="26" xfId="50" applyNumberFormat="1" applyFont="1" applyBorder="1" applyAlignment="1">
      <alignment horizontal="center"/>
    </xf>
    <xf numFmtId="3" fontId="33" fillId="0" borderId="67" xfId="50" applyNumberFormat="1" applyFont="1" applyBorder="1"/>
    <xf numFmtId="0" fontId="39" fillId="0" borderId="24" xfId="0" applyFont="1" applyBorder="1" applyAlignment="1">
      <alignment horizontal="left"/>
    </xf>
    <xf numFmtId="3" fontId="39" fillId="0" borderId="67" xfId="0" applyNumberFormat="1" applyFont="1" applyBorder="1" applyAlignment="1">
      <alignment horizontal="left"/>
    </xf>
    <xf numFmtId="3" fontId="39" fillId="0" borderId="68" xfId="0" applyNumberFormat="1" applyFont="1" applyBorder="1"/>
    <xf numFmtId="3" fontId="39" fillId="0" borderId="43" xfId="0" applyNumberFormat="1" applyFont="1" applyBorder="1"/>
    <xf numFmtId="3" fontId="39" fillId="0" borderId="15" xfId="0" applyNumberFormat="1" applyFont="1" applyBorder="1"/>
    <xf numFmtId="3" fontId="50" fillId="0" borderId="58" xfId="0" applyNumberFormat="1" applyFont="1" applyBorder="1"/>
    <xf numFmtId="3" fontId="50" fillId="0" borderId="22" xfId="0" applyNumberFormat="1" applyFont="1" applyBorder="1"/>
    <xf numFmtId="3" fontId="50" fillId="0" borderId="34" xfId="0" applyNumberFormat="1" applyFont="1" applyBorder="1"/>
    <xf numFmtId="3" fontId="50" fillId="0" borderId="58" xfId="0" applyNumberFormat="1" applyFont="1" applyBorder="1" applyAlignment="1">
      <alignment horizontal="right"/>
    </xf>
    <xf numFmtId="3" fontId="50" fillId="0" borderId="22" xfId="0" applyNumberFormat="1" applyFont="1" applyBorder="1" applyAlignment="1">
      <alignment horizontal="right"/>
    </xf>
    <xf numFmtId="3" fontId="50" fillId="0" borderId="34" xfId="0" applyNumberFormat="1" applyFont="1" applyBorder="1" applyAlignment="1">
      <alignment horizontal="right"/>
    </xf>
    <xf numFmtId="3" fontId="50" fillId="0" borderId="35" xfId="0" applyNumberFormat="1" applyFont="1" applyBorder="1"/>
    <xf numFmtId="3" fontId="55" fillId="0" borderId="37" xfId="0" applyNumberFormat="1" applyFont="1" applyBorder="1"/>
    <xf numFmtId="3" fontId="50" fillId="0" borderId="26" xfId="0" applyNumberFormat="1" applyFont="1" applyBorder="1" applyAlignment="1">
      <alignment horizontal="right"/>
    </xf>
    <xf numFmtId="3" fontId="50" fillId="0" borderId="27" xfId="0" applyNumberFormat="1" applyFont="1" applyBorder="1" applyAlignment="1">
      <alignment horizontal="centerContinuous"/>
    </xf>
    <xf numFmtId="3" fontId="50" fillId="0" borderId="27" xfId="0" applyNumberFormat="1" applyFont="1" applyBorder="1" applyAlignment="1">
      <alignment horizontal="right"/>
    </xf>
    <xf numFmtId="3" fontId="50" fillId="0" borderId="22" xfId="48" applyNumberFormat="1" applyFont="1" applyBorder="1" applyAlignment="1">
      <alignment horizontal="right"/>
    </xf>
    <xf numFmtId="3" fontId="56" fillId="0" borderId="38" xfId="0" applyNumberFormat="1" applyFont="1" applyBorder="1" applyAlignment="1">
      <alignment horizontal="right"/>
    </xf>
    <xf numFmtId="3" fontId="56" fillId="0" borderId="38" xfId="0" applyNumberFormat="1" applyFont="1" applyBorder="1"/>
    <xf numFmtId="3" fontId="50" fillId="0" borderId="27" xfId="0" applyNumberFormat="1" applyFont="1" applyBorder="1"/>
    <xf numFmtId="3" fontId="56" fillId="0" borderId="42" xfId="0" applyNumberFormat="1" applyFont="1" applyBorder="1" applyAlignment="1">
      <alignment horizontal="right"/>
    </xf>
    <xf numFmtId="3" fontId="56" fillId="0" borderId="27" xfId="0" applyNumberFormat="1" applyFont="1" applyBorder="1" applyAlignment="1">
      <alignment horizontal="centerContinuous"/>
    </xf>
    <xf numFmtId="3" fontId="56" fillId="0" borderId="27" xfId="0" applyNumberFormat="1" applyFont="1" applyBorder="1" applyAlignment="1">
      <alignment horizontal="right"/>
    </xf>
    <xf numFmtId="3" fontId="50" fillId="0" borderId="27" xfId="0" applyNumberFormat="1" applyFont="1" applyBorder="1" applyAlignment="1">
      <alignment horizontal="center"/>
    </xf>
    <xf numFmtId="3" fontId="50" fillId="0" borderId="30" xfId="0" applyNumberFormat="1" applyFont="1" applyBorder="1" applyAlignment="1">
      <alignment horizontal="center"/>
    </xf>
    <xf numFmtId="3" fontId="56" fillId="0" borderId="26" xfId="0" applyNumberFormat="1" applyFont="1" applyBorder="1"/>
    <xf numFmtId="3" fontId="56" fillId="0" borderId="45" xfId="0" applyNumberFormat="1" applyFont="1" applyBorder="1"/>
    <xf numFmtId="3" fontId="50" fillId="0" borderId="30" xfId="0" applyNumberFormat="1" applyFont="1" applyBorder="1"/>
    <xf numFmtId="0" fontId="34" fillId="0" borderId="20" xfId="0" applyFont="1" applyBorder="1"/>
    <xf numFmtId="3" fontId="37" fillId="0" borderId="41" xfId="0" applyNumberFormat="1" applyFont="1" applyBorder="1" applyAlignment="1">
      <alignment horizontal="centerContinuous"/>
    </xf>
    <xf numFmtId="3" fontId="39" fillId="0" borderId="41" xfId="0" applyNumberFormat="1" applyFont="1" applyBorder="1" applyAlignment="1">
      <alignment horizontal="centerContinuous"/>
    </xf>
    <xf numFmtId="3" fontId="34" fillId="0" borderId="29" xfId="0" applyNumberFormat="1" applyFont="1" applyBorder="1"/>
    <xf numFmtId="0" fontId="50" fillId="0" borderId="20" xfId="0" applyFont="1" applyBorder="1"/>
    <xf numFmtId="0" fontId="50" fillId="0" borderId="20" xfId="48" applyFont="1" applyBorder="1" applyAlignment="1">
      <alignment horizontal="justify"/>
    </xf>
    <xf numFmtId="3" fontId="56" fillId="0" borderId="0" xfId="0" applyNumberFormat="1" applyFont="1" applyAlignment="1">
      <alignment horizontal="left"/>
    </xf>
    <xf numFmtId="3" fontId="57" fillId="0" borderId="41" xfId="0" applyNumberFormat="1" applyFont="1" applyBorder="1" applyAlignment="1">
      <alignment horizontal="centerContinuous"/>
    </xf>
    <xf numFmtId="3" fontId="56" fillId="0" borderId="41" xfId="0" applyNumberFormat="1" applyFont="1" applyBorder="1" applyAlignment="1">
      <alignment horizontal="centerContinuous"/>
    </xf>
    <xf numFmtId="3" fontId="56" fillId="0" borderId="26" xfId="0" applyNumberFormat="1" applyFont="1" applyBorder="1" applyAlignment="1">
      <alignment horizontal="left"/>
    </xf>
    <xf numFmtId="0" fontId="50" fillId="0" borderId="29" xfId="0" applyFont="1" applyBorder="1" applyAlignment="1">
      <alignment horizontal="left"/>
    </xf>
    <xf numFmtId="3" fontId="50" fillId="0" borderId="29" xfId="0" applyNumberFormat="1" applyFont="1" applyBorder="1"/>
    <xf numFmtId="0" fontId="34" fillId="0" borderId="31" xfId="0" applyFont="1" applyBorder="1"/>
    <xf numFmtId="0" fontId="34" fillId="0" borderId="72" xfId="0" applyFont="1" applyBorder="1"/>
    <xf numFmtId="0" fontId="34" fillId="0" borderId="59" xfId="0" applyFont="1" applyBorder="1"/>
    <xf numFmtId="0" fontId="34" fillId="0" borderId="33" xfId="0" applyFont="1" applyBorder="1"/>
    <xf numFmtId="3" fontId="34" fillId="0" borderId="19" xfId="0" applyNumberFormat="1" applyFont="1" applyBorder="1"/>
    <xf numFmtId="0" fontId="34" fillId="0" borderId="19" xfId="0" applyFont="1" applyBorder="1"/>
    <xf numFmtId="3" fontId="39" fillId="0" borderId="23" xfId="0" applyNumberFormat="1" applyFont="1" applyBorder="1"/>
    <xf numFmtId="0" fontId="39" fillId="0" borderId="21" xfId="0" applyFont="1" applyBorder="1"/>
    <xf numFmtId="3" fontId="39" fillId="0" borderId="21" xfId="0" applyNumberFormat="1" applyFont="1" applyBorder="1"/>
    <xf numFmtId="3" fontId="39" fillId="0" borderId="55" xfId="0" applyNumberFormat="1" applyFont="1" applyBorder="1" applyAlignment="1">
      <alignment horizontal="left"/>
    </xf>
    <xf numFmtId="3" fontId="39" fillId="0" borderId="54" xfId="0" applyNumberFormat="1" applyFont="1" applyBorder="1" applyAlignment="1">
      <alignment horizontal="centerContinuous"/>
    </xf>
    <xf numFmtId="3" fontId="39" fillId="0" borderId="73" xfId="0" applyNumberFormat="1" applyFont="1" applyBorder="1" applyAlignment="1">
      <alignment horizontal="center"/>
    </xf>
    <xf numFmtId="3" fontId="39" fillId="0" borderId="72" xfId="0" applyNumberFormat="1" applyFont="1" applyBorder="1" applyAlignment="1">
      <alignment horizontal="right"/>
    </xf>
    <xf numFmtId="3" fontId="39" fillId="0" borderId="20" xfId="0" applyNumberFormat="1" applyFont="1" applyBorder="1"/>
    <xf numFmtId="3" fontId="37" fillId="0" borderId="33" xfId="0" applyNumberFormat="1" applyFont="1" applyBorder="1" applyAlignment="1">
      <alignment horizontal="left"/>
    </xf>
    <xf numFmtId="3" fontId="39" fillId="0" borderId="33" xfId="0" applyNumberFormat="1" applyFont="1" applyBorder="1"/>
    <xf numFmtId="3" fontId="34" fillId="0" borderId="33" xfId="0" applyNumberFormat="1" applyFont="1" applyBorder="1"/>
    <xf numFmtId="3" fontId="34" fillId="0" borderId="33" xfId="0" applyNumberFormat="1" applyFont="1" applyBorder="1" applyAlignment="1">
      <alignment horizontal="left"/>
    </xf>
    <xf numFmtId="0" fontId="34" fillId="0" borderId="65" xfId="0" applyFont="1" applyBorder="1"/>
    <xf numFmtId="0" fontId="40" fillId="0" borderId="54" xfId="0" applyFont="1" applyBorder="1"/>
    <xf numFmtId="3" fontId="39" fillId="0" borderId="29" xfId="0" applyNumberFormat="1" applyFont="1" applyBorder="1" applyAlignment="1">
      <alignment horizontal="centerContinuous"/>
    </xf>
    <xf numFmtId="3" fontId="34" fillId="0" borderId="19" xfId="0" applyNumberFormat="1" applyFont="1" applyBorder="1" applyAlignment="1">
      <alignment horizontal="left"/>
    </xf>
    <xf numFmtId="3" fontId="34" fillId="0" borderId="0" xfId="0" applyNumberFormat="1" applyFont="1" applyAlignment="1">
      <alignment horizontal="left"/>
    </xf>
    <xf numFmtId="3" fontId="34" fillId="0" borderId="0" xfId="0" applyNumberFormat="1" applyFont="1" applyAlignment="1">
      <alignment horizontal="centerContinuous"/>
    </xf>
    <xf numFmtId="3" fontId="34" fillId="0" borderId="32" xfId="0" applyNumberFormat="1" applyFont="1" applyBorder="1" applyAlignment="1">
      <alignment horizontal="left"/>
    </xf>
    <xf numFmtId="3" fontId="34" fillId="0" borderId="33" xfId="0" applyNumberFormat="1" applyFont="1" applyBorder="1" applyAlignment="1">
      <alignment horizontal="centerContinuous"/>
    </xf>
    <xf numFmtId="3" fontId="34" fillId="0" borderId="33" xfId="0" applyNumberFormat="1" applyFont="1" applyBorder="1" applyAlignment="1">
      <alignment horizontal="center"/>
    </xf>
    <xf numFmtId="3" fontId="34" fillId="0" borderId="19" xfId="0" applyNumberFormat="1" applyFont="1" applyBorder="1" applyAlignment="1">
      <alignment horizontal="centerContinuous"/>
    </xf>
    <xf numFmtId="3" fontId="39" fillId="0" borderId="19" xfId="0" applyNumberFormat="1" applyFont="1" applyBorder="1" applyAlignment="1">
      <alignment horizontal="centerContinuous"/>
    </xf>
    <xf numFmtId="3" fontId="39" fillId="0" borderId="0" xfId="0" applyNumberFormat="1" applyFont="1" applyAlignment="1">
      <alignment horizontal="centerContinuous"/>
    </xf>
    <xf numFmtId="3" fontId="39" fillId="0" borderId="19" xfId="0" applyNumberFormat="1" applyFont="1" applyBorder="1" applyAlignment="1">
      <alignment horizontal="left"/>
    </xf>
    <xf numFmtId="0" fontId="34" fillId="0" borderId="0" xfId="48" applyFont="1"/>
    <xf numFmtId="3" fontId="34" fillId="0" borderId="0" xfId="0" applyNumberFormat="1" applyFont="1" applyAlignment="1">
      <alignment horizontal="center"/>
    </xf>
    <xf numFmtId="0" fontId="34" fillId="0" borderId="0" xfId="48" applyFont="1" applyAlignment="1">
      <alignment horizontal="left"/>
    </xf>
    <xf numFmtId="3" fontId="39" fillId="0" borderId="41" xfId="0" applyNumberFormat="1" applyFont="1" applyBorder="1"/>
    <xf numFmtId="0" fontId="39" fillId="0" borderId="25" xfId="0" applyFont="1" applyBorder="1"/>
    <xf numFmtId="3" fontId="39" fillId="0" borderId="25" xfId="0" applyNumberFormat="1" applyFont="1" applyBorder="1" applyAlignment="1">
      <alignment horizontal="right"/>
    </xf>
    <xf numFmtId="3" fontId="39" fillId="0" borderId="20" xfId="0" applyNumberFormat="1" applyFont="1" applyBorder="1" applyAlignment="1">
      <alignment horizontal="right"/>
    </xf>
    <xf numFmtId="3" fontId="39" fillId="0" borderId="33" xfId="0" applyNumberFormat="1" applyFont="1" applyBorder="1" applyAlignment="1">
      <alignment horizontal="right"/>
    </xf>
    <xf numFmtId="0" fontId="39" fillId="0" borderId="41" xfId="0" applyFont="1" applyBorder="1"/>
    <xf numFmtId="3" fontId="39" fillId="0" borderId="41" xfId="0" applyNumberFormat="1" applyFont="1" applyBorder="1" applyAlignment="1">
      <alignment horizontal="right"/>
    </xf>
    <xf numFmtId="0" fontId="39" fillId="0" borderId="50" xfId="0" applyFont="1" applyBorder="1"/>
    <xf numFmtId="3" fontId="39" fillId="0" borderId="50" xfId="0" applyNumberFormat="1" applyFont="1" applyBorder="1" applyAlignment="1">
      <alignment horizontal="right"/>
    </xf>
    <xf numFmtId="3" fontId="39" fillId="0" borderId="41" xfId="0" applyNumberFormat="1" applyFont="1" applyBorder="1" applyAlignment="1">
      <alignment horizontal="left"/>
    </xf>
    <xf numFmtId="0" fontId="34" fillId="0" borderId="33" xfId="48" applyFont="1" applyBorder="1" applyAlignment="1">
      <alignment horizontal="justify"/>
    </xf>
    <xf numFmtId="0" fontId="37" fillId="0" borderId="28" xfId="0" applyFont="1" applyBorder="1"/>
    <xf numFmtId="0" fontId="34" fillId="0" borderId="33" xfId="0" applyFont="1" applyBorder="1" applyAlignment="1">
      <alignment wrapText="1"/>
    </xf>
    <xf numFmtId="0" fontId="45" fillId="0" borderId="0" xfId="0" applyFont="1" applyAlignment="1">
      <alignment horizontal="left"/>
    </xf>
    <xf numFmtId="0" fontId="32" fillId="0" borderId="57" xfId="0" applyFont="1" applyBorder="1" applyAlignment="1">
      <alignment horizontal="left"/>
    </xf>
    <xf numFmtId="3" fontId="39" fillId="27" borderId="38" xfId="0" applyNumberFormat="1" applyFont="1" applyFill="1" applyBorder="1"/>
    <xf numFmtId="0" fontId="32" fillId="0" borderId="20" xfId="0" applyFont="1" applyBorder="1" applyAlignment="1">
      <alignment vertical="top" wrapText="1"/>
    </xf>
    <xf numFmtId="0" fontId="31" fillId="0" borderId="11" xfId="0" applyFont="1" applyBorder="1"/>
    <xf numFmtId="3" fontId="31" fillId="0" borderId="50" xfId="0" applyNumberFormat="1" applyFont="1" applyBorder="1"/>
    <xf numFmtId="0" fontId="33" fillId="27" borderId="59" xfId="0" applyFont="1" applyFill="1" applyBorder="1" applyAlignment="1">
      <alignment horizontal="left" wrapText="1"/>
    </xf>
    <xf numFmtId="0" fontId="27" fillId="0" borderId="32" xfId="0" applyFont="1" applyBorder="1"/>
    <xf numFmtId="0" fontId="34" fillId="0" borderId="20" xfId="48" applyFont="1" applyBorder="1" applyAlignment="1">
      <alignment horizontal="justify"/>
    </xf>
    <xf numFmtId="0" fontId="34" fillId="28" borderId="20" xfId="48" applyFont="1" applyFill="1" applyBorder="1" applyAlignment="1">
      <alignment horizontal="justify"/>
    </xf>
    <xf numFmtId="0" fontId="32" fillId="0" borderId="20" xfId="48" applyFont="1" applyBorder="1" applyAlignment="1">
      <alignment horizontal="justify"/>
    </xf>
    <xf numFmtId="3" fontId="34" fillId="0" borderId="39" xfId="0" applyNumberFormat="1" applyFont="1" applyBorder="1"/>
    <xf numFmtId="0" fontId="33" fillId="0" borderId="74" xfId="0" applyFont="1" applyBorder="1" applyAlignment="1">
      <alignment horizontal="justify" wrapText="1"/>
    </xf>
    <xf numFmtId="3" fontId="34" fillId="0" borderId="71" xfId="0" applyNumberFormat="1" applyFont="1" applyBorder="1" applyAlignment="1">
      <alignment horizontal="right" wrapText="1"/>
    </xf>
    <xf numFmtId="0" fontId="33" fillId="0" borderId="0" xfId="50" applyFont="1" applyAlignment="1">
      <alignment horizontal="right"/>
    </xf>
    <xf numFmtId="0" fontId="32" fillId="0" borderId="74" xfId="50" applyFont="1" applyBorder="1"/>
    <xf numFmtId="3" fontId="32" fillId="0" borderId="71" xfId="50" applyNumberFormat="1" applyFont="1" applyBorder="1"/>
    <xf numFmtId="0" fontId="32" fillId="0" borderId="30" xfId="50" applyFont="1" applyBorder="1" applyAlignment="1">
      <alignment horizontal="justify"/>
    </xf>
    <xf numFmtId="3" fontId="32" fillId="0" borderId="30" xfId="50" applyNumberFormat="1" applyFont="1" applyBorder="1"/>
    <xf numFmtId="0" fontId="32" fillId="0" borderId="24" xfId="50" applyFont="1" applyBorder="1" applyAlignment="1">
      <alignment horizontal="justify"/>
    </xf>
    <xf numFmtId="0" fontId="32" fillId="0" borderId="28" xfId="50" applyFont="1" applyBorder="1"/>
    <xf numFmtId="0" fontId="31" fillId="0" borderId="27" xfId="0" applyFont="1" applyBorder="1" applyAlignment="1">
      <alignment horizontal="center"/>
    </xf>
    <xf numFmtId="0" fontId="44" fillId="0" borderId="26" xfId="0" applyFont="1" applyBorder="1" applyAlignment="1">
      <alignment horizontal="center"/>
    </xf>
    <xf numFmtId="0" fontId="35" fillId="0" borderId="38" xfId="0" applyFont="1" applyBorder="1" applyAlignment="1">
      <alignment horizontal="left" wrapText="1"/>
    </xf>
    <xf numFmtId="0" fontId="36" fillId="0" borderId="27" xfId="0" applyFont="1" applyBorder="1" applyAlignment="1">
      <alignment horizontal="center" wrapText="1"/>
    </xf>
    <xf numFmtId="0" fontId="31" fillId="0" borderId="38" xfId="0" applyFont="1" applyBorder="1" applyAlignment="1">
      <alignment horizontal="left"/>
    </xf>
    <xf numFmtId="0" fontId="31" fillId="0" borderId="42" xfId="0" applyFont="1" applyBorder="1" applyAlignment="1">
      <alignment horizontal="center"/>
    </xf>
    <xf numFmtId="0" fontId="35" fillId="0" borderId="30" xfId="0" applyFont="1" applyBorder="1" applyAlignment="1">
      <alignment wrapText="1"/>
    </xf>
    <xf numFmtId="0" fontId="31" fillId="0" borderId="38" xfId="0" applyFont="1" applyBorder="1" applyAlignment="1">
      <alignment horizontal="center"/>
    </xf>
    <xf numFmtId="0" fontId="31" fillId="0" borderId="26" xfId="0" applyFont="1" applyBorder="1" applyAlignment="1">
      <alignment horizontal="center"/>
    </xf>
    <xf numFmtId="0" fontId="31" fillId="0" borderId="42" xfId="0" applyFont="1" applyBorder="1"/>
    <xf numFmtId="0" fontId="36" fillId="0" borderId="30" xfId="0" applyFont="1" applyBorder="1"/>
    <xf numFmtId="0" fontId="36" fillId="0" borderId="42" xfId="0" applyFont="1" applyBorder="1"/>
    <xf numFmtId="0" fontId="32" fillId="0" borderId="57" xfId="48" applyFont="1" applyBorder="1" applyAlignment="1">
      <alignment horizontal="left" wrapText="1"/>
    </xf>
    <xf numFmtId="3" fontId="34" fillId="27" borderId="22" xfId="46" applyNumberFormat="1" applyFont="1" applyFill="1" applyBorder="1" applyProtection="1">
      <protection locked="0"/>
    </xf>
    <xf numFmtId="3" fontId="33" fillId="0" borderId="19" xfId="51" applyNumberFormat="1" applyFont="1" applyBorder="1" applyAlignment="1">
      <alignment horizontal="justify" vertical="top" wrapText="1"/>
    </xf>
    <xf numFmtId="0" fontId="31" fillId="0" borderId="38" xfId="0" applyFont="1" applyBorder="1" applyAlignment="1">
      <alignment horizontal="left" wrapText="1"/>
    </xf>
    <xf numFmtId="0" fontId="31" fillId="0" borderId="38" xfId="0" applyFont="1" applyBorder="1"/>
    <xf numFmtId="0" fontId="44" fillId="0" borderId="27" xfId="0" applyFont="1" applyBorder="1" applyAlignment="1">
      <alignment horizontal="center"/>
    </xf>
    <xf numFmtId="3" fontId="34" fillId="0" borderId="0" xfId="0" applyNumberFormat="1" applyFont="1" applyAlignment="1">
      <alignment horizontal="right" wrapText="1"/>
    </xf>
    <xf numFmtId="3" fontId="39" fillId="0" borderId="0" xfId="0" applyNumberFormat="1" applyFont="1" applyAlignment="1">
      <alignment horizontal="right" wrapText="1"/>
    </xf>
    <xf numFmtId="0" fontId="35" fillId="27" borderId="58" xfId="0" applyFont="1" applyFill="1" applyBorder="1" applyAlignment="1">
      <alignment horizontal="justify" wrapText="1"/>
    </xf>
    <xf numFmtId="0" fontId="33" fillId="0" borderId="59" xfId="0" applyFont="1" applyBorder="1"/>
    <xf numFmtId="3" fontId="35" fillId="27" borderId="38" xfId="0" applyNumberFormat="1" applyFont="1" applyFill="1" applyBorder="1" applyAlignment="1">
      <alignment wrapText="1"/>
    </xf>
    <xf numFmtId="3" fontId="34" fillId="27" borderId="36" xfId="0" applyNumberFormat="1" applyFont="1" applyFill="1" applyBorder="1"/>
    <xf numFmtId="3" fontId="39" fillId="0" borderId="26" xfId="0" applyNumberFormat="1" applyFont="1" applyBorder="1"/>
    <xf numFmtId="0" fontId="35" fillId="27" borderId="38" xfId="0" applyFont="1" applyFill="1" applyBorder="1" applyAlignment="1">
      <alignment horizontal="justify"/>
    </xf>
    <xf numFmtId="0" fontId="44" fillId="0" borderId="19" xfId="0" applyFont="1" applyBorder="1" applyAlignment="1">
      <alignment horizontal="justify"/>
    </xf>
    <xf numFmtId="3" fontId="44" fillId="0" borderId="19" xfId="0" applyNumberFormat="1" applyFont="1" applyBorder="1" applyAlignment="1">
      <alignment wrapText="1"/>
    </xf>
    <xf numFmtId="0" fontId="35" fillId="0" borderId="36" xfId="0" applyFont="1" applyBorder="1"/>
    <xf numFmtId="0" fontId="33" fillId="27" borderId="58" xfId="0" applyFont="1" applyFill="1" applyBorder="1"/>
    <xf numFmtId="164" fontId="33" fillId="0" borderId="0" xfId="36" applyFont="1"/>
    <xf numFmtId="3" fontId="33" fillId="0" borderId="75" xfId="0" applyNumberFormat="1" applyFont="1" applyBorder="1" applyAlignment="1">
      <alignment horizontal="left" wrapText="1"/>
    </xf>
    <xf numFmtId="0" fontId="36" fillId="0" borderId="29" xfId="48" applyFont="1" applyBorder="1"/>
    <xf numFmtId="3" fontId="39" fillId="25" borderId="30" xfId="48" applyNumberFormat="1" applyFont="1" applyFill="1" applyBorder="1"/>
    <xf numFmtId="3" fontId="44" fillId="0" borderId="0" xfId="0" applyNumberFormat="1" applyFont="1"/>
    <xf numFmtId="0" fontId="31" fillId="0" borderId="48" xfId="0" applyFont="1" applyBorder="1" applyAlignment="1">
      <alignment wrapText="1"/>
    </xf>
    <xf numFmtId="0" fontId="33" fillId="27" borderId="19" xfId="0" applyFont="1" applyFill="1" applyBorder="1" applyAlignment="1">
      <alignment horizontal="left" wrapText="1"/>
    </xf>
    <xf numFmtId="3" fontId="34" fillId="27" borderId="58" xfId="0" applyNumberFormat="1" applyFont="1" applyFill="1" applyBorder="1" applyAlignment="1">
      <alignment horizontal="right"/>
    </xf>
    <xf numFmtId="0" fontId="45" fillId="0" borderId="33" xfId="0" applyFont="1" applyBorder="1"/>
    <xf numFmtId="0" fontId="45" fillId="0" borderId="20" xfId="0" applyFont="1" applyBorder="1"/>
    <xf numFmtId="0" fontId="33" fillId="0" borderId="47" xfId="46" applyFont="1" applyBorder="1" applyAlignment="1">
      <alignment wrapText="1"/>
    </xf>
    <xf numFmtId="3" fontId="34" fillId="0" borderId="27" xfId="0" applyNumberFormat="1" applyFont="1" applyBorder="1" applyProtection="1">
      <protection locked="0"/>
    </xf>
    <xf numFmtId="0" fontId="32" fillId="0" borderId="35" xfId="0" applyFont="1" applyBorder="1"/>
    <xf numFmtId="3" fontId="37" fillId="0" borderId="38" xfId="0" applyNumberFormat="1" applyFont="1" applyBorder="1" applyProtection="1">
      <protection locked="0"/>
    </xf>
    <xf numFmtId="3" fontId="37" fillId="0" borderId="38" xfId="0" applyNumberFormat="1" applyFont="1" applyBorder="1"/>
    <xf numFmtId="0" fontId="44" fillId="0" borderId="29" xfId="48" applyFont="1" applyBorder="1" applyAlignment="1">
      <alignment horizontal="left" wrapText="1"/>
    </xf>
    <xf numFmtId="3" fontId="37" fillId="0" borderId="30" xfId="0" applyNumberFormat="1" applyFont="1" applyBorder="1" applyAlignment="1">
      <alignment horizontal="right"/>
    </xf>
    <xf numFmtId="0" fontId="44" fillId="0" borderId="0" xfId="48" applyFont="1" applyAlignment="1">
      <alignment horizontal="left"/>
    </xf>
    <xf numFmtId="3" fontId="37" fillId="0" borderId="27" xfId="0" applyNumberFormat="1" applyFont="1" applyBorder="1" applyAlignment="1">
      <alignment horizontal="right"/>
    </xf>
    <xf numFmtId="3" fontId="34" fillId="0" borderId="22" xfId="48" applyNumberFormat="1" applyFont="1" applyBorder="1" applyAlignment="1">
      <alignment horizontal="right"/>
    </xf>
    <xf numFmtId="3" fontId="34" fillId="0" borderId="36" xfId="0" applyNumberFormat="1" applyFont="1" applyBorder="1" applyAlignment="1">
      <alignment horizontal="right" wrapText="1"/>
    </xf>
    <xf numFmtId="0" fontId="33" fillId="0" borderId="20" xfId="0" applyFont="1" applyBorder="1" applyAlignment="1">
      <alignment horizontal="left"/>
    </xf>
    <xf numFmtId="0" fontId="35" fillId="0" borderId="0" xfId="48" applyFont="1" applyAlignment="1">
      <alignment horizontal="left"/>
    </xf>
    <xf numFmtId="3" fontId="34" fillId="0" borderId="38" xfId="0" applyNumberFormat="1" applyFont="1" applyBorder="1" applyAlignment="1">
      <alignment wrapText="1"/>
    </xf>
    <xf numFmtId="0" fontId="33" fillId="0" borderId="44" xfId="0" applyFont="1" applyBorder="1" applyAlignment="1">
      <alignment horizontal="justify" wrapText="1"/>
    </xf>
    <xf numFmtId="0" fontId="33" fillId="27" borderId="38" xfId="0" applyFont="1" applyFill="1" applyBorder="1" applyAlignment="1">
      <alignment horizontal="justify"/>
    </xf>
    <xf numFmtId="3" fontId="34" fillId="0" borderId="38" xfId="0" applyNumberFormat="1" applyFont="1" applyBorder="1"/>
    <xf numFmtId="0" fontId="33" fillId="0" borderId="20" xfId="48" applyFont="1" applyBorder="1" applyAlignment="1">
      <alignment horizontal="left" wrapText="1"/>
    </xf>
    <xf numFmtId="0" fontId="33" fillId="0" borderId="38" xfId="0" applyFont="1" applyBorder="1" applyAlignment="1">
      <alignment horizontal="justify"/>
    </xf>
    <xf numFmtId="0" fontId="33" fillId="27" borderId="38" xfId="0" applyFont="1" applyFill="1" applyBorder="1"/>
    <xf numFmtId="0" fontId="33" fillId="0" borderId="30" xfId="0" applyFont="1" applyBorder="1" applyAlignment="1">
      <alignment horizontal="justify"/>
    </xf>
    <xf numFmtId="3" fontId="34" fillId="0" borderId="30" xfId="0" applyNumberFormat="1" applyFont="1" applyBorder="1"/>
    <xf numFmtId="3" fontId="34" fillId="27" borderId="38" xfId="0" applyNumberFormat="1" applyFont="1" applyFill="1" applyBorder="1"/>
    <xf numFmtId="0" fontId="33" fillId="0" borderId="26" xfId="0" applyFont="1" applyBorder="1" applyAlignment="1">
      <alignment horizontal="justify"/>
    </xf>
    <xf numFmtId="0" fontId="33" fillId="27" borderId="30" xfId="0" applyFont="1" applyFill="1" applyBorder="1"/>
    <xf numFmtId="3" fontId="34" fillId="27" borderId="28" xfId="0" applyNumberFormat="1" applyFont="1" applyFill="1" applyBorder="1" applyAlignment="1">
      <alignment horizontal="right"/>
    </xf>
    <xf numFmtId="3" fontId="34" fillId="0" borderId="30" xfId="0" applyNumberFormat="1" applyFont="1" applyBorder="1" applyAlignment="1">
      <alignment horizontal="right"/>
    </xf>
    <xf numFmtId="0" fontId="33" fillId="0" borderId="51" xfId="0" applyFont="1" applyBorder="1" applyAlignment="1">
      <alignment horizontal="justify"/>
    </xf>
    <xf numFmtId="3" fontId="34" fillId="0" borderId="51" xfId="0" applyNumberFormat="1" applyFont="1" applyBorder="1" applyAlignment="1">
      <alignment horizontal="right"/>
    </xf>
    <xf numFmtId="0" fontId="33" fillId="27" borderId="51" xfId="0" applyFont="1" applyFill="1" applyBorder="1"/>
    <xf numFmtId="3" fontId="34" fillId="27" borderId="51" xfId="0" applyNumberFormat="1" applyFont="1" applyFill="1" applyBorder="1" applyAlignment="1">
      <alignment horizontal="right"/>
    </xf>
    <xf numFmtId="0" fontId="33" fillId="0" borderId="71" xfId="0" applyFont="1" applyBorder="1" applyAlignment="1">
      <alignment horizontal="justify" wrapText="1"/>
    </xf>
    <xf numFmtId="3" fontId="34" fillId="0" borderId="71" xfId="0" applyNumberFormat="1" applyFont="1" applyBorder="1" applyAlignment="1">
      <alignment wrapText="1"/>
    </xf>
    <xf numFmtId="3" fontId="33" fillId="0" borderId="0" xfId="48" applyNumberFormat="1" applyFont="1"/>
    <xf numFmtId="3" fontId="34" fillId="0" borderId="59" xfId="0" applyNumberFormat="1" applyFont="1" applyBorder="1"/>
    <xf numFmtId="3" fontId="34" fillId="0" borderId="63" xfId="0" applyNumberFormat="1" applyFont="1" applyBorder="1"/>
    <xf numFmtId="3" fontId="63" fillId="0" borderId="0" xfId="47" applyNumberFormat="1" applyFont="1"/>
    <xf numFmtId="3" fontId="63" fillId="0" borderId="0" xfId="47" applyNumberFormat="1" applyFont="1" applyAlignment="1">
      <alignment horizontal="right"/>
    </xf>
    <xf numFmtId="3" fontId="63" fillId="0" borderId="0" xfId="47" applyNumberFormat="1" applyFont="1" applyAlignment="1">
      <alignment horizontal="center"/>
    </xf>
    <xf numFmtId="3" fontId="64" fillId="0" borderId="0" xfId="47" applyNumberFormat="1" applyFont="1"/>
    <xf numFmtId="0" fontId="63" fillId="0" borderId="0" xfId="47" applyFont="1"/>
    <xf numFmtId="3" fontId="63" fillId="0" borderId="26" xfId="47" applyNumberFormat="1" applyFont="1" applyBorder="1" applyAlignment="1">
      <alignment horizontal="center" vertical="center" wrapText="1"/>
    </xf>
    <xf numFmtId="3" fontId="64" fillId="0" borderId="0" xfId="47" applyNumberFormat="1" applyFont="1" applyAlignment="1">
      <alignment horizontal="justify"/>
    </xf>
    <xf numFmtId="3" fontId="63" fillId="0" borderId="27" xfId="47" applyNumberFormat="1" applyFont="1" applyBorder="1" applyAlignment="1">
      <alignment horizontal="center" vertical="center" wrapText="1"/>
    </xf>
    <xf numFmtId="3" fontId="63" fillId="0" borderId="29" xfId="47" applyNumberFormat="1" applyFont="1" applyBorder="1" applyAlignment="1">
      <alignment horizontal="center"/>
    </xf>
    <xf numFmtId="3" fontId="63" fillId="0" borderId="28" xfId="47" applyNumberFormat="1" applyFont="1" applyBorder="1"/>
    <xf numFmtId="3" fontId="63" fillId="0" borderId="29" xfId="47" applyNumberFormat="1" applyFont="1" applyBorder="1"/>
    <xf numFmtId="3" fontId="63" fillId="0" borderId="40" xfId="47" applyNumberFormat="1" applyFont="1" applyBorder="1"/>
    <xf numFmtId="3" fontId="63" fillId="0" borderId="28" xfId="47" applyNumberFormat="1" applyFont="1" applyBorder="1" applyAlignment="1">
      <alignment wrapText="1"/>
    </xf>
    <xf numFmtId="3" fontId="63" fillId="0" borderId="29" xfId="47" applyNumberFormat="1" applyFont="1" applyBorder="1" applyAlignment="1">
      <alignment wrapText="1"/>
    </xf>
    <xf numFmtId="3" fontId="63" fillId="0" borderId="40" xfId="47" applyNumberFormat="1" applyFont="1" applyBorder="1" applyAlignment="1">
      <alignment wrapText="1"/>
    </xf>
    <xf numFmtId="3" fontId="63" fillId="0" borderId="30" xfId="47" applyNumberFormat="1" applyFont="1" applyBorder="1" applyAlignment="1">
      <alignment vertical="center" wrapText="1"/>
    </xf>
    <xf numFmtId="3" fontId="65" fillId="0" borderId="30" xfId="47" applyNumberFormat="1" applyFont="1" applyBorder="1" applyAlignment="1">
      <alignment horizontal="center" wrapText="1"/>
    </xf>
    <xf numFmtId="3" fontId="64" fillId="0" borderId="0" xfId="47" applyNumberFormat="1" applyFont="1" applyAlignment="1">
      <alignment horizontal="center"/>
    </xf>
    <xf numFmtId="3" fontId="63" fillId="0" borderId="26" xfId="47" applyNumberFormat="1" applyFont="1" applyBorder="1" applyAlignment="1">
      <alignment horizontal="center" vertical="center"/>
    </xf>
    <xf numFmtId="3" fontId="63" fillId="0" borderId="26" xfId="47" applyNumberFormat="1" applyFont="1" applyBorder="1" applyAlignment="1">
      <alignment horizontal="right"/>
    </xf>
    <xf numFmtId="3" fontId="63" fillId="0" borderId="26" xfId="47" applyNumberFormat="1" applyFont="1" applyBorder="1" applyAlignment="1">
      <alignment horizontal="center"/>
    </xf>
    <xf numFmtId="3" fontId="66" fillId="0" borderId="36" xfId="47" applyNumberFormat="1" applyFont="1" applyBorder="1" applyAlignment="1">
      <alignment horizontal="left"/>
    </xf>
    <xf numFmtId="3" fontId="66" fillId="0" borderId="36" xfId="47" applyNumberFormat="1" applyFont="1" applyBorder="1" applyAlignment="1">
      <alignment horizontal="right"/>
    </xf>
    <xf numFmtId="3" fontId="63" fillId="0" borderId="36" xfId="47" applyNumberFormat="1" applyFont="1" applyBorder="1" applyAlignment="1">
      <alignment horizontal="right"/>
    </xf>
    <xf numFmtId="3" fontId="66" fillId="0" borderId="51" xfId="47" applyNumberFormat="1" applyFont="1" applyBorder="1" applyAlignment="1">
      <alignment horizontal="left"/>
    </xf>
    <xf numFmtId="3" fontId="66" fillId="0" borderId="42" xfId="47" applyNumberFormat="1" applyFont="1" applyBorder="1" applyAlignment="1">
      <alignment horizontal="left"/>
    </xf>
    <xf numFmtId="3" fontId="66" fillId="0" borderId="27" xfId="47" applyNumberFormat="1" applyFont="1" applyBorder="1" applyAlignment="1">
      <alignment horizontal="right"/>
    </xf>
    <xf numFmtId="3" fontId="63" fillId="0" borderId="42" xfId="47" applyNumberFormat="1" applyFont="1" applyBorder="1" applyAlignment="1">
      <alignment horizontal="right"/>
    </xf>
    <xf numFmtId="3" fontId="63" fillId="0" borderId="28" xfId="47" applyNumberFormat="1" applyFont="1" applyBorder="1" applyAlignment="1">
      <alignment horizontal="left"/>
    </xf>
    <xf numFmtId="3" fontId="63" fillId="0" borderId="38" xfId="47" applyNumberFormat="1" applyFont="1" applyBorder="1" applyAlignment="1">
      <alignment horizontal="right"/>
    </xf>
    <xf numFmtId="3" fontId="63" fillId="0" borderId="28" xfId="47" applyNumberFormat="1" applyFont="1" applyBorder="1" applyAlignment="1">
      <alignment horizontal="right"/>
    </xf>
    <xf numFmtId="3" fontId="66" fillId="0" borderId="55" xfId="47" applyNumberFormat="1" applyFont="1" applyBorder="1" applyAlignment="1">
      <alignment horizontal="left"/>
    </xf>
    <xf numFmtId="3" fontId="66" fillId="0" borderId="38" xfId="47" applyNumberFormat="1" applyFont="1" applyBorder="1" applyAlignment="1">
      <alignment horizontal="right"/>
    </xf>
    <xf numFmtId="3" fontId="63" fillId="0" borderId="44" xfId="47" applyNumberFormat="1" applyFont="1" applyBorder="1" applyAlignment="1">
      <alignment horizontal="right"/>
    </xf>
    <xf numFmtId="3" fontId="63" fillId="0" borderId="55" xfId="47" applyNumberFormat="1" applyFont="1" applyBorder="1" applyAlignment="1">
      <alignment horizontal="left"/>
    </xf>
    <xf numFmtId="3" fontId="63" fillId="0" borderId="27" xfId="47" applyNumberFormat="1" applyFont="1" applyBorder="1" applyAlignment="1">
      <alignment horizontal="right"/>
    </xf>
    <xf numFmtId="3" fontId="63" fillId="0" borderId="27" xfId="47" applyNumberFormat="1" applyFont="1" applyBorder="1" applyAlignment="1">
      <alignment horizontal="center" vertical="center"/>
    </xf>
    <xf numFmtId="3" fontId="67" fillId="0" borderId="0" xfId="47" applyNumberFormat="1" applyFont="1" applyAlignment="1">
      <alignment horizontal="center"/>
    </xf>
    <xf numFmtId="3" fontId="63" fillId="0" borderId="39" xfId="47" applyNumberFormat="1" applyFont="1" applyBorder="1" applyAlignment="1">
      <alignment horizontal="right"/>
    </xf>
    <xf numFmtId="3" fontId="67" fillId="0" borderId="27" xfId="47" applyNumberFormat="1" applyFont="1" applyBorder="1" applyAlignment="1">
      <alignment horizontal="center"/>
    </xf>
    <xf numFmtId="3" fontId="66" fillId="0" borderId="27" xfId="47" applyNumberFormat="1" applyFont="1" applyBorder="1" applyAlignment="1">
      <alignment horizontal="justify"/>
    </xf>
    <xf numFmtId="3" fontId="63" fillId="0" borderId="30" xfId="47" applyNumberFormat="1" applyFont="1" applyBorder="1" applyAlignment="1">
      <alignment horizontal="right"/>
    </xf>
    <xf numFmtId="3" fontId="66" fillId="0" borderId="51" xfId="47" applyNumberFormat="1" applyFont="1" applyBorder="1" applyAlignment="1">
      <alignment horizontal="right"/>
    </xf>
    <xf numFmtId="3" fontId="66" fillId="0" borderId="27" xfId="47" applyNumberFormat="1" applyFont="1" applyBorder="1" applyAlignment="1">
      <alignment horizontal="left"/>
    </xf>
    <xf numFmtId="3" fontId="66" fillId="0" borderId="49" xfId="47" applyNumberFormat="1" applyFont="1" applyBorder="1" applyAlignment="1">
      <alignment horizontal="right"/>
    </xf>
    <xf numFmtId="3" fontId="63" fillId="0" borderId="38" xfId="47" applyNumberFormat="1" applyFont="1" applyBorder="1" applyAlignment="1">
      <alignment horizontal="left"/>
    </xf>
    <xf numFmtId="3" fontId="67" fillId="0" borderId="26" xfId="47" applyNumberFormat="1" applyFont="1" applyBorder="1" applyAlignment="1">
      <alignment horizontal="center"/>
    </xf>
    <xf numFmtId="3" fontId="66" fillId="0" borderId="30" xfId="47" applyNumberFormat="1" applyFont="1" applyBorder="1" applyAlignment="1">
      <alignment horizontal="right"/>
    </xf>
    <xf numFmtId="3" fontId="63" fillId="0" borderId="24" xfId="47" applyNumberFormat="1" applyFont="1" applyBorder="1" applyAlignment="1">
      <alignment horizontal="right"/>
    </xf>
    <xf numFmtId="3" fontId="63" fillId="0" borderId="67" xfId="47" applyNumberFormat="1" applyFont="1" applyBorder="1" applyAlignment="1">
      <alignment horizontal="right"/>
    </xf>
    <xf numFmtId="3" fontId="66" fillId="0" borderId="22" xfId="47" applyNumberFormat="1" applyFont="1" applyBorder="1" applyAlignment="1">
      <alignment horizontal="left"/>
    </xf>
    <xf numFmtId="3" fontId="66" fillId="0" borderId="28" xfId="47" applyNumberFormat="1" applyFont="1" applyBorder="1" applyAlignment="1">
      <alignment horizontal="right"/>
    </xf>
    <xf numFmtId="3" fontId="66" fillId="0" borderId="40" xfId="47" applyNumberFormat="1" applyFont="1" applyBorder="1" applyAlignment="1">
      <alignment horizontal="right"/>
    </xf>
    <xf numFmtId="3" fontId="66" fillId="0" borderId="30" xfId="47" applyNumberFormat="1" applyFont="1" applyBorder="1" applyAlignment="1">
      <alignment horizontal="left"/>
    </xf>
    <xf numFmtId="3" fontId="63" fillId="0" borderId="19" xfId="47" applyNumberFormat="1" applyFont="1" applyBorder="1" applyAlignment="1">
      <alignment horizontal="right"/>
    </xf>
    <xf numFmtId="3" fontId="66" fillId="0" borderId="36" xfId="47" applyNumberFormat="1" applyFont="1" applyBorder="1" applyAlignment="1">
      <alignment horizontal="justify"/>
    </xf>
    <xf numFmtId="3" fontId="66" fillId="0" borderId="10" xfId="47" applyNumberFormat="1" applyFont="1" applyBorder="1" applyAlignment="1">
      <alignment horizontal="right"/>
    </xf>
    <xf numFmtId="3" fontId="66" fillId="0" borderId="42" xfId="47" applyNumberFormat="1" applyFont="1" applyBorder="1" applyAlignment="1">
      <alignment horizontal="left" vertical="center"/>
    </xf>
    <xf numFmtId="3" fontId="66" fillId="0" borderId="42" xfId="47" applyNumberFormat="1" applyFont="1" applyBorder="1" applyAlignment="1">
      <alignment horizontal="right"/>
    </xf>
    <xf numFmtId="3" fontId="66" fillId="0" borderId="54" xfId="47" applyNumberFormat="1" applyFont="1" applyBorder="1" applyAlignment="1">
      <alignment horizontal="right"/>
    </xf>
    <xf numFmtId="3" fontId="63" fillId="0" borderId="54" xfId="47" applyNumberFormat="1" applyFont="1" applyBorder="1" applyAlignment="1">
      <alignment horizontal="right"/>
    </xf>
    <xf numFmtId="3" fontId="64" fillId="0" borderId="29" xfId="47" applyNumberFormat="1" applyFont="1" applyBorder="1" applyAlignment="1">
      <alignment horizontal="justify"/>
    </xf>
    <xf numFmtId="3" fontId="63" fillId="0" borderId="27" xfId="47" applyNumberFormat="1" applyFont="1" applyBorder="1" applyAlignment="1">
      <alignment horizontal="left"/>
    </xf>
    <xf numFmtId="3" fontId="63" fillId="0" borderId="38" xfId="47" applyNumberFormat="1" applyFont="1" applyBorder="1" applyAlignment="1">
      <alignment horizontal="left" vertical="center"/>
    </xf>
    <xf numFmtId="3" fontId="63" fillId="0" borderId="30" xfId="47" applyNumberFormat="1" applyFont="1" applyBorder="1" applyAlignment="1">
      <alignment horizontal="left" vertical="center"/>
    </xf>
    <xf numFmtId="3" fontId="63" fillId="0" borderId="29" xfId="47" applyNumberFormat="1" applyFont="1" applyBorder="1" applyAlignment="1">
      <alignment horizontal="right"/>
    </xf>
    <xf numFmtId="3" fontId="64" fillId="0" borderId="0" xfId="47" applyNumberFormat="1" applyFont="1" applyAlignment="1">
      <alignment horizontal="right"/>
    </xf>
    <xf numFmtId="3" fontId="66" fillId="0" borderId="0" xfId="47" applyNumberFormat="1" applyFont="1" applyAlignment="1">
      <alignment horizontal="right"/>
    </xf>
    <xf numFmtId="3" fontId="69" fillId="0" borderId="0" xfId="47" applyNumberFormat="1" applyFont="1"/>
    <xf numFmtId="3" fontId="70" fillId="0" borderId="0" xfId="47" applyNumberFormat="1" applyFont="1" applyAlignment="1">
      <alignment horizontal="center"/>
    </xf>
    <xf numFmtId="3" fontId="63" fillId="0" borderId="0" xfId="47" applyNumberFormat="1" applyFont="1" applyAlignment="1">
      <alignment horizontal="center" vertical="center"/>
    </xf>
    <xf numFmtId="3" fontId="70" fillId="0" borderId="0" xfId="47" applyNumberFormat="1" applyFont="1" applyAlignment="1">
      <alignment horizontal="justify"/>
    </xf>
    <xf numFmtId="3" fontId="63" fillId="0" borderId="30" xfId="47" applyNumberFormat="1" applyFont="1" applyBorder="1" applyAlignment="1">
      <alignment vertical="center"/>
    </xf>
    <xf numFmtId="3" fontId="70" fillId="0" borderId="0" xfId="47" applyNumberFormat="1" applyFont="1"/>
    <xf numFmtId="3" fontId="66" fillId="0" borderId="36" xfId="47" applyNumberFormat="1" applyFont="1" applyBorder="1"/>
    <xf numFmtId="3" fontId="71" fillId="0" borderId="36" xfId="47" applyNumberFormat="1" applyFont="1" applyBorder="1" applyAlignment="1">
      <alignment horizontal="right"/>
    </xf>
    <xf numFmtId="3" fontId="66" fillId="0" borderId="42" xfId="47" applyNumberFormat="1" applyFont="1" applyBorder="1" applyAlignment="1">
      <alignment horizontal="right" vertical="center"/>
    </xf>
    <xf numFmtId="3" fontId="70" fillId="0" borderId="29" xfId="47" applyNumberFormat="1" applyFont="1" applyBorder="1"/>
    <xf numFmtId="3" fontId="63" fillId="0" borderId="30" xfId="47" applyNumberFormat="1" applyFont="1" applyBorder="1" applyAlignment="1">
      <alignment horizontal="left"/>
    </xf>
    <xf numFmtId="3" fontId="69" fillId="0" borderId="0" xfId="47" applyNumberFormat="1" applyFont="1" applyAlignment="1">
      <alignment horizontal="right"/>
    </xf>
    <xf numFmtId="3" fontId="64" fillId="0" borderId="19" xfId="47" applyNumberFormat="1" applyFont="1" applyBorder="1" applyAlignment="1">
      <alignment horizontal="justify"/>
    </xf>
    <xf numFmtId="3" fontId="70" fillId="0" borderId="19" xfId="47" applyNumberFormat="1" applyFont="1" applyBorder="1"/>
    <xf numFmtId="0" fontId="73" fillId="0" borderId="0" xfId="58" applyFont="1"/>
    <xf numFmtId="0" fontId="75" fillId="0" borderId="0" xfId="58" applyFont="1"/>
    <xf numFmtId="0" fontId="75" fillId="0" borderId="0" xfId="58" applyFont="1" applyAlignment="1">
      <alignment wrapText="1"/>
    </xf>
    <xf numFmtId="3" fontId="76" fillId="0" borderId="0" xfId="58" applyNumberFormat="1" applyFont="1"/>
    <xf numFmtId="3" fontId="76" fillId="0" borderId="0" xfId="58" applyNumberFormat="1" applyFont="1" applyAlignment="1">
      <alignment horizontal="right"/>
    </xf>
    <xf numFmtId="0" fontId="58" fillId="0" borderId="74" xfId="58" applyFont="1" applyBorder="1" applyAlignment="1">
      <alignment horizontal="center" wrapText="1"/>
    </xf>
    <xf numFmtId="3" fontId="74" fillId="0" borderId="77" xfId="58" applyNumberFormat="1" applyFont="1" applyBorder="1" applyAlignment="1">
      <alignment horizontal="center" vertical="center" wrapText="1"/>
    </xf>
    <xf numFmtId="0" fontId="77" fillId="0" borderId="0" xfId="58" applyFont="1"/>
    <xf numFmtId="0" fontId="24" fillId="0" borderId="64" xfId="58" applyFont="1" applyBorder="1" applyAlignment="1">
      <alignment wrapText="1"/>
    </xf>
    <xf numFmtId="3" fontId="78" fillId="0" borderId="78" xfId="58" applyNumberFormat="1" applyFont="1" applyBorder="1"/>
    <xf numFmtId="0" fontId="79" fillId="0" borderId="0" xfId="58" applyFont="1"/>
    <xf numFmtId="0" fontId="80" fillId="0" borderId="23" xfId="58" applyFont="1" applyBorder="1" applyAlignment="1">
      <alignment wrapText="1"/>
    </xf>
    <xf numFmtId="3" fontId="81" fillId="0" borderId="10" xfId="58" applyNumberFormat="1" applyFont="1" applyBorder="1"/>
    <xf numFmtId="0" fontId="80" fillId="0" borderId="11" xfId="58" applyFont="1" applyBorder="1" applyAlignment="1">
      <alignment wrapText="1"/>
    </xf>
    <xf numFmtId="3" fontId="81" fillId="0" borderId="13" xfId="58" applyNumberFormat="1" applyFont="1" applyBorder="1"/>
    <xf numFmtId="3" fontId="81" fillId="28" borderId="13" xfId="58" applyNumberFormat="1" applyFont="1" applyFill="1" applyBorder="1"/>
    <xf numFmtId="0" fontId="80" fillId="0" borderId="19" xfId="58" applyFont="1" applyBorder="1" applyAlignment="1">
      <alignment wrapText="1"/>
    </xf>
    <xf numFmtId="0" fontId="24" fillId="29" borderId="79" xfId="58" applyFont="1" applyFill="1" applyBorder="1" applyAlignment="1">
      <alignment wrapText="1"/>
    </xf>
    <xf numFmtId="3" fontId="82" fillId="29" borderId="80" xfId="58" applyNumberFormat="1" applyFont="1" applyFill="1" applyBorder="1"/>
    <xf numFmtId="0" fontId="24" fillId="0" borderId="0" xfId="58" applyFont="1"/>
    <xf numFmtId="0" fontId="24" fillId="0" borderId="19" xfId="58" applyFont="1" applyBorder="1" applyAlignment="1">
      <alignment wrapText="1"/>
    </xf>
    <xf numFmtId="3" fontId="82" fillId="0" borderId="81" xfId="58" applyNumberFormat="1" applyFont="1" applyBorder="1"/>
    <xf numFmtId="0" fontId="83" fillId="0" borderId="19" xfId="58" applyFont="1" applyBorder="1" applyAlignment="1">
      <alignment wrapText="1"/>
    </xf>
    <xf numFmtId="3" fontId="81" fillId="0" borderId="81" xfId="58" applyNumberFormat="1" applyFont="1" applyBorder="1"/>
    <xf numFmtId="0" fontId="84" fillId="0" borderId="23" xfId="58" applyFont="1" applyBorder="1" applyAlignment="1">
      <alignment wrapText="1"/>
    </xf>
    <xf numFmtId="0" fontId="60" fillId="0" borderId="19" xfId="58" applyFont="1" applyBorder="1" applyAlignment="1">
      <alignment wrapText="1"/>
    </xf>
    <xf numFmtId="3" fontId="81" fillId="0" borderId="78" xfId="58" applyNumberFormat="1" applyFont="1" applyBorder="1"/>
    <xf numFmtId="0" fontId="83" fillId="0" borderId="23" xfId="58" applyFont="1" applyBorder="1" applyAlignment="1">
      <alignment wrapText="1"/>
    </xf>
    <xf numFmtId="0" fontId="83" fillId="0" borderId="64" xfId="58" applyFont="1" applyBorder="1" applyAlignment="1">
      <alignment wrapText="1"/>
    </xf>
    <xf numFmtId="0" fontId="85" fillId="0" borderId="19" xfId="58" applyFont="1" applyBorder="1" applyAlignment="1">
      <alignment wrapText="1"/>
    </xf>
    <xf numFmtId="0" fontId="83" fillId="0" borderId="82" xfId="58" applyFont="1" applyBorder="1" applyAlignment="1">
      <alignment wrapText="1"/>
    </xf>
    <xf numFmtId="0" fontId="80" fillId="0" borderId="19" xfId="58" applyFont="1" applyBorder="1" applyAlignment="1">
      <alignment horizontal="left" wrapText="1"/>
    </xf>
    <xf numFmtId="0" fontId="80" fillId="0" borderId="46" xfId="58" applyFont="1" applyBorder="1" applyAlignment="1">
      <alignment wrapText="1"/>
    </xf>
    <xf numFmtId="0" fontId="80" fillId="0" borderId="83" xfId="58" applyFont="1" applyBorder="1" applyAlignment="1">
      <alignment horizontal="left" wrapText="1"/>
    </xf>
    <xf numFmtId="0" fontId="84" fillId="0" borderId="64" xfId="58" applyFont="1" applyBorder="1" applyAlignment="1">
      <alignment wrapText="1"/>
    </xf>
    <xf numFmtId="0" fontId="85" fillId="0" borderId="23" xfId="58" applyFont="1" applyBorder="1" applyAlignment="1">
      <alignment wrapText="1"/>
    </xf>
    <xf numFmtId="0" fontId="80" fillId="0" borderId="84" xfId="58" applyFont="1" applyBorder="1" applyAlignment="1">
      <alignment wrapText="1"/>
    </xf>
    <xf numFmtId="3" fontId="81" fillId="0" borderId="85" xfId="58" applyNumberFormat="1" applyFont="1" applyBorder="1"/>
    <xf numFmtId="3" fontId="81" fillId="29" borderId="80" xfId="58" applyNumberFormat="1" applyFont="1" applyFill="1" applyBorder="1"/>
    <xf numFmtId="0" fontId="25" fillId="0" borderId="0" xfId="58" applyFont="1"/>
    <xf numFmtId="3" fontId="80" fillId="0" borderId="19" xfId="58" applyNumberFormat="1" applyFont="1" applyBorder="1"/>
    <xf numFmtId="3" fontId="81" fillId="28" borderId="10" xfId="58" applyNumberFormat="1" applyFont="1" applyFill="1" applyBorder="1"/>
    <xf numFmtId="0" fontId="80" fillId="28" borderId="11" xfId="58" applyFont="1" applyFill="1" applyBorder="1" applyAlignment="1">
      <alignment wrapText="1"/>
    </xf>
    <xf numFmtId="0" fontId="85" fillId="0" borderId="11" xfId="58" applyFont="1" applyBorder="1" applyAlignment="1">
      <alignment wrapText="1"/>
    </xf>
    <xf numFmtId="0" fontId="86" fillId="0" borderId="11" xfId="58" applyFont="1" applyBorder="1" applyAlignment="1">
      <alignment wrapText="1"/>
    </xf>
    <xf numFmtId="0" fontId="83" fillId="0" borderId="79" xfId="58" applyFont="1" applyBorder="1" applyAlignment="1">
      <alignment wrapText="1"/>
    </xf>
    <xf numFmtId="3" fontId="81" fillId="0" borderId="80" xfId="58" applyNumberFormat="1" applyFont="1" applyBorder="1"/>
    <xf numFmtId="0" fontId="83" fillId="0" borderId="84" xfId="58" applyFont="1" applyBorder="1" applyAlignment="1">
      <alignment wrapText="1"/>
    </xf>
    <xf numFmtId="0" fontId="83" fillId="0" borderId="86" xfId="58" applyFont="1" applyBorder="1" applyAlignment="1">
      <alignment wrapText="1"/>
    </xf>
    <xf numFmtId="3" fontId="81" fillId="0" borderId="87" xfId="58" applyNumberFormat="1" applyFont="1" applyBorder="1"/>
    <xf numFmtId="0" fontId="77" fillId="0" borderId="19" xfId="58" applyFont="1" applyBorder="1" applyAlignment="1">
      <alignment wrapText="1"/>
    </xf>
    <xf numFmtId="0" fontId="87" fillId="0" borderId="19" xfId="58" applyFont="1" applyBorder="1" applyAlignment="1">
      <alignment wrapText="1"/>
    </xf>
    <xf numFmtId="0" fontId="89" fillId="0" borderId="19" xfId="58" applyFont="1" applyBorder="1" applyAlignment="1">
      <alignment wrapText="1"/>
    </xf>
    <xf numFmtId="0" fontId="89" fillId="0" borderId="11" xfId="58" applyFont="1" applyBorder="1" applyAlignment="1">
      <alignment horizontal="left" wrapText="1"/>
    </xf>
    <xf numFmtId="0" fontId="77" fillId="29" borderId="79" xfId="58" applyFont="1" applyFill="1" applyBorder="1" applyAlignment="1">
      <alignment wrapText="1"/>
    </xf>
    <xf numFmtId="0" fontId="77" fillId="0" borderId="86" xfId="58" applyFont="1" applyBorder="1" applyAlignment="1">
      <alignment wrapText="1"/>
    </xf>
    <xf numFmtId="0" fontId="79" fillId="0" borderId="23" xfId="58" applyFont="1" applyBorder="1" applyAlignment="1">
      <alignment wrapText="1"/>
    </xf>
    <xf numFmtId="0" fontId="79" fillId="0" borderId="11" xfId="58" applyFont="1" applyBorder="1" applyAlignment="1">
      <alignment wrapText="1"/>
    </xf>
    <xf numFmtId="0" fontId="77" fillId="29" borderId="88" xfId="58" applyFont="1" applyFill="1" applyBorder="1" applyAlignment="1">
      <alignment wrapText="1"/>
    </xf>
    <xf numFmtId="3" fontId="81" fillId="29" borderId="89" xfId="58" applyNumberFormat="1" applyFont="1" applyFill="1" applyBorder="1"/>
    <xf numFmtId="0" fontId="87" fillId="0" borderId="24" xfId="58" applyFont="1" applyBorder="1" applyAlignment="1">
      <alignment horizontal="center" wrapText="1"/>
    </xf>
    <xf numFmtId="3" fontId="90" fillId="0" borderId="16" xfId="58" applyNumberFormat="1" applyFont="1" applyBorder="1" applyAlignment="1">
      <alignment horizontal="center"/>
    </xf>
    <xf numFmtId="14" fontId="91" fillId="28" borderId="23" xfId="57" applyNumberFormat="1" applyFont="1" applyFill="1" applyBorder="1" applyAlignment="1">
      <alignment horizontal="left"/>
    </xf>
    <xf numFmtId="3" fontId="82" fillId="28" borderId="81" xfId="58" applyNumberFormat="1" applyFont="1" applyFill="1" applyBorder="1"/>
    <xf numFmtId="0" fontId="92" fillId="26" borderId="83" xfId="57" applyFont="1" applyFill="1" applyBorder="1" applyAlignment="1">
      <alignment wrapText="1"/>
    </xf>
    <xf numFmtId="3" fontId="88" fillId="26" borderId="12" xfId="58" applyNumberFormat="1" applyFont="1" applyFill="1" applyBorder="1"/>
    <xf numFmtId="0" fontId="91" fillId="28" borderId="23" xfId="57" applyFont="1" applyFill="1" applyBorder="1" applyAlignment="1">
      <alignment horizontal="left"/>
    </xf>
    <xf numFmtId="3" fontId="82" fillId="28" borderId="13" xfId="58" applyNumberFormat="1" applyFont="1" applyFill="1" applyBorder="1"/>
    <xf numFmtId="0" fontId="91" fillId="28" borderId="19" xfId="57" applyFont="1" applyFill="1" applyBorder="1"/>
    <xf numFmtId="0" fontId="91" fillId="0" borderId="11" xfId="57" applyFont="1" applyBorder="1" applyAlignment="1">
      <alignment wrapText="1"/>
    </xf>
    <xf numFmtId="0" fontId="26" fillId="0" borderId="0" xfId="58" applyFont="1"/>
    <xf numFmtId="0" fontId="91" fillId="28" borderId="19" xfId="57" applyFont="1" applyFill="1" applyBorder="1" applyAlignment="1">
      <alignment vertical="top" wrapText="1"/>
    </xf>
    <xf numFmtId="3" fontId="88" fillId="28" borderId="46" xfId="58" applyNumberFormat="1" applyFont="1" applyFill="1" applyBorder="1"/>
    <xf numFmtId="0" fontId="26" fillId="28" borderId="0" xfId="58" applyFont="1" applyFill="1"/>
    <xf numFmtId="0" fontId="92" fillId="26" borderId="76" xfId="57" applyFont="1" applyFill="1" applyBorder="1" applyAlignment="1">
      <alignment wrapText="1"/>
    </xf>
    <xf numFmtId="3" fontId="88" fillId="26" borderId="39" xfId="58" applyNumberFormat="1" applyFont="1" applyFill="1" applyBorder="1"/>
    <xf numFmtId="0" fontId="24" fillId="29" borderId="51" xfId="58" applyFont="1" applyFill="1" applyBorder="1" applyAlignment="1">
      <alignment wrapText="1"/>
    </xf>
    <xf numFmtId="3" fontId="82" fillId="29" borderId="51" xfId="58" applyNumberFormat="1" applyFont="1" applyFill="1" applyBorder="1"/>
    <xf numFmtId="3" fontId="24" fillId="29" borderId="84" xfId="58" applyNumberFormat="1" applyFont="1" applyFill="1" applyBorder="1" applyAlignment="1">
      <alignment wrapText="1"/>
    </xf>
    <xf numFmtId="3" fontId="82" fillId="29" borderId="90" xfId="58" applyNumberFormat="1" applyFont="1" applyFill="1" applyBorder="1"/>
    <xf numFmtId="3" fontId="73" fillId="0" borderId="0" xfId="58" applyNumberFormat="1" applyFont="1"/>
    <xf numFmtId="0" fontId="93" fillId="0" borderId="0" xfId="59" applyFont="1"/>
    <xf numFmtId="0" fontId="94" fillId="0" borderId="0" xfId="59" applyFont="1"/>
    <xf numFmtId="0" fontId="38" fillId="0" borderId="0" xfId="59" applyFont="1" applyAlignment="1">
      <alignment horizontal="center"/>
    </xf>
    <xf numFmtId="0" fontId="94" fillId="0" borderId="0" xfId="59" applyFont="1" applyAlignment="1">
      <alignment horizontal="right"/>
    </xf>
    <xf numFmtId="0" fontId="95" fillId="0" borderId="0" xfId="59" applyFont="1"/>
    <xf numFmtId="0" fontId="94" fillId="0" borderId="26" xfId="59" applyFont="1" applyBorder="1"/>
    <xf numFmtId="3" fontId="94" fillId="0" borderId="27" xfId="60" applyNumberFormat="1" applyFont="1" applyBorder="1" applyAlignment="1">
      <alignment horizontal="center"/>
    </xf>
    <xf numFmtId="4" fontId="94" fillId="0" borderId="39" xfId="59" applyNumberFormat="1" applyFont="1" applyBorder="1" applyAlignment="1">
      <alignment horizontal="center"/>
    </xf>
    <xf numFmtId="3" fontId="94" fillId="0" borderId="30" xfId="60" applyNumberFormat="1" applyFont="1" applyBorder="1" applyAlignment="1">
      <alignment horizontal="left"/>
    </xf>
    <xf numFmtId="4" fontId="94" fillId="0" borderId="30" xfId="59" applyNumberFormat="1" applyFont="1" applyBorder="1" applyAlignment="1">
      <alignment horizontal="center"/>
    </xf>
    <xf numFmtId="3" fontId="94" fillId="0" borderId="30" xfId="59" applyNumberFormat="1" applyFont="1" applyBorder="1" applyAlignment="1">
      <alignment horizontal="center"/>
    </xf>
    <xf numFmtId="4" fontId="94" fillId="0" borderId="38" xfId="59" applyNumberFormat="1" applyFont="1" applyBorder="1" applyAlignment="1">
      <alignment horizontal="center"/>
    </xf>
    <xf numFmtId="3" fontId="94" fillId="0" borderId="38" xfId="59" applyNumberFormat="1" applyFont="1" applyBorder="1" applyAlignment="1">
      <alignment horizontal="center"/>
    </xf>
    <xf numFmtId="4" fontId="96" fillId="0" borderId="27" xfId="59" applyNumberFormat="1" applyFont="1" applyBorder="1" applyAlignment="1">
      <alignment horizontal="center"/>
    </xf>
    <xf numFmtId="4" fontId="39" fillId="0" borderId="26" xfId="59" applyNumberFormat="1" applyFont="1" applyBorder="1" applyAlignment="1">
      <alignment horizontal="justify"/>
    </xf>
    <xf numFmtId="4" fontId="39" fillId="0" borderId="67" xfId="59" applyNumberFormat="1" applyFont="1" applyBorder="1" applyAlignment="1">
      <alignment horizontal="justify"/>
    </xf>
    <xf numFmtId="0" fontId="97" fillId="0" borderId="0" xfId="0" applyFont="1" applyAlignment="1">
      <alignment horizontal="center" vertical="center" wrapText="1"/>
    </xf>
    <xf numFmtId="0" fontId="97" fillId="0" borderId="26" xfId="0" applyFont="1" applyBorder="1" applyAlignment="1">
      <alignment horizontal="center" vertical="center" wrapText="1"/>
    </xf>
    <xf numFmtId="0" fontId="97" fillId="0" borderId="67" xfId="0" applyFont="1" applyBorder="1" applyAlignment="1">
      <alignment horizontal="center" vertical="center" wrapText="1"/>
    </xf>
    <xf numFmtId="0" fontId="98" fillId="0" borderId="0" xfId="59" applyFont="1" applyAlignment="1">
      <alignment horizontal="justify"/>
    </xf>
    <xf numFmtId="3" fontId="99" fillId="0" borderId="36" xfId="0" applyNumberFormat="1" applyFont="1" applyBorder="1" applyAlignment="1">
      <alignment horizontal="left"/>
    </xf>
    <xf numFmtId="4" fontId="100" fillId="0" borderId="27" xfId="59" applyNumberFormat="1" applyFont="1" applyBorder="1"/>
    <xf numFmtId="3" fontId="100" fillId="0" borderId="39" xfId="59" applyNumberFormat="1" applyFont="1" applyBorder="1"/>
    <xf numFmtId="4" fontId="100" fillId="0" borderId="19" xfId="59" applyNumberFormat="1" applyFont="1" applyBorder="1"/>
    <xf numFmtId="4" fontId="100" fillId="0" borderId="39" xfId="59" applyNumberFormat="1" applyFont="1" applyBorder="1"/>
    <xf numFmtId="4" fontId="68" fillId="0" borderId="39" xfId="59" applyNumberFormat="1" applyFont="1" applyBorder="1"/>
    <xf numFmtId="3" fontId="68" fillId="0" borderId="39" xfId="59" applyNumberFormat="1" applyFont="1" applyBorder="1"/>
    <xf numFmtId="0" fontId="98" fillId="0" borderId="0" xfId="59" applyFont="1"/>
    <xf numFmtId="3" fontId="99" fillId="0" borderId="51" xfId="0" applyNumberFormat="1" applyFont="1" applyBorder="1" applyAlignment="1">
      <alignment horizontal="left"/>
    </xf>
    <xf numFmtId="4" fontId="100" fillId="0" borderId="51" xfId="59" applyNumberFormat="1" applyFont="1" applyBorder="1"/>
    <xf numFmtId="3" fontId="100" fillId="0" borderId="18" xfId="59" applyNumberFormat="1" applyFont="1" applyBorder="1"/>
    <xf numFmtId="4" fontId="100" fillId="0" borderId="64" xfId="59" applyNumberFormat="1" applyFont="1" applyBorder="1"/>
    <xf numFmtId="4" fontId="100" fillId="0" borderId="49" xfId="59" applyNumberFormat="1" applyFont="1" applyBorder="1"/>
    <xf numFmtId="4" fontId="100" fillId="0" borderId="18" xfId="59" applyNumberFormat="1" applyFont="1" applyBorder="1"/>
    <xf numFmtId="3" fontId="100" fillId="0" borderId="12" xfId="59" applyNumberFormat="1" applyFont="1" applyBorder="1"/>
    <xf numFmtId="4" fontId="68" fillId="0" borderId="18" xfId="59" applyNumberFormat="1" applyFont="1" applyBorder="1"/>
    <xf numFmtId="3" fontId="68" fillId="0" borderId="18" xfId="59" applyNumberFormat="1" applyFont="1" applyBorder="1"/>
    <xf numFmtId="4" fontId="100" fillId="0" borderId="11" xfId="59" applyNumberFormat="1" applyFont="1" applyBorder="1"/>
    <xf numFmtId="4" fontId="41" fillId="0" borderId="51" xfId="59" applyNumberFormat="1" applyFont="1" applyBorder="1"/>
    <xf numFmtId="4" fontId="41" fillId="0" borderId="12" xfId="59" applyNumberFormat="1" applyFont="1" applyBorder="1"/>
    <xf numFmtId="4" fontId="100" fillId="0" borderId="12" xfId="59" applyNumberFormat="1" applyFont="1" applyBorder="1"/>
    <xf numFmtId="4" fontId="68" fillId="0" borderId="12" xfId="59" applyNumberFormat="1" applyFont="1" applyBorder="1"/>
    <xf numFmtId="3" fontId="68" fillId="0" borderId="12" xfId="59" applyNumberFormat="1" applyFont="1" applyBorder="1"/>
    <xf numFmtId="4" fontId="100" fillId="0" borderId="49" xfId="59" applyNumberFormat="1" applyFont="1" applyBorder="1" applyAlignment="1">
      <alignment horizontal="justify"/>
    </xf>
    <xf numFmtId="4" fontId="100" fillId="0" borderId="18" xfId="59" applyNumberFormat="1" applyFont="1" applyBorder="1" applyAlignment="1">
      <alignment horizontal="justify"/>
    </xf>
    <xf numFmtId="4" fontId="72" fillId="0" borderId="11" xfId="59" applyNumberFormat="1" applyFont="1" applyBorder="1"/>
    <xf numFmtId="4" fontId="72" fillId="0" borderId="51" xfId="59" applyNumberFormat="1" applyFont="1" applyBorder="1"/>
    <xf numFmtId="3" fontId="100" fillId="0" borderId="51" xfId="59" applyNumberFormat="1" applyFont="1" applyBorder="1"/>
    <xf numFmtId="4" fontId="100" fillId="0" borderId="23" xfId="59" applyNumberFormat="1" applyFont="1" applyBorder="1"/>
    <xf numFmtId="4" fontId="100" fillId="0" borderId="36" xfId="59" applyNumberFormat="1" applyFont="1" applyBorder="1"/>
    <xf numFmtId="4" fontId="100" fillId="0" borderId="14" xfId="59" applyNumberFormat="1" applyFont="1" applyBorder="1"/>
    <xf numFmtId="3" fontId="100" fillId="0" borderId="14" xfId="59" applyNumberFormat="1" applyFont="1" applyBorder="1"/>
    <xf numFmtId="4" fontId="68" fillId="0" borderId="14" xfId="59" applyNumberFormat="1" applyFont="1" applyBorder="1"/>
    <xf numFmtId="3" fontId="68" fillId="0" borderId="14" xfId="59" applyNumberFormat="1" applyFont="1" applyBorder="1"/>
    <xf numFmtId="3" fontId="99" fillId="0" borderId="27" xfId="0" applyNumberFormat="1" applyFont="1" applyBorder="1" applyAlignment="1">
      <alignment horizontal="left"/>
    </xf>
    <xf numFmtId="4" fontId="72" fillId="0" borderId="28" xfId="59" applyNumberFormat="1" applyFont="1" applyBorder="1"/>
    <xf numFmtId="4" fontId="100" fillId="0" borderId="30" xfId="59" applyNumberFormat="1" applyFont="1" applyBorder="1"/>
    <xf numFmtId="4" fontId="72" fillId="0" borderId="30" xfId="59" applyNumberFormat="1" applyFont="1" applyBorder="1"/>
    <xf numFmtId="4" fontId="94" fillId="0" borderId="38" xfId="59" applyNumberFormat="1" applyFont="1" applyBorder="1"/>
    <xf numFmtId="4" fontId="68" fillId="0" borderId="38" xfId="59" applyNumberFormat="1" applyFont="1" applyBorder="1"/>
    <xf numFmtId="3" fontId="68" fillId="0" borderId="38" xfId="59" applyNumberFormat="1" applyFont="1" applyBorder="1"/>
    <xf numFmtId="4" fontId="99" fillId="0" borderId="38" xfId="59" applyNumberFormat="1" applyFont="1" applyBorder="1"/>
    <xf numFmtId="3" fontId="100" fillId="0" borderId="38" xfId="59" applyNumberFormat="1" applyFont="1" applyBorder="1"/>
    <xf numFmtId="4" fontId="68" fillId="0" borderId="45" xfId="59" applyNumberFormat="1" applyFont="1" applyBorder="1"/>
    <xf numFmtId="3" fontId="68" fillId="0" borderId="45" xfId="59" applyNumberFormat="1" applyFont="1" applyBorder="1"/>
    <xf numFmtId="4" fontId="96" fillId="0" borderId="26" xfId="59" applyNumberFormat="1" applyFont="1" applyBorder="1" applyAlignment="1">
      <alignment horizontal="center"/>
    </xf>
    <xf numFmtId="4" fontId="68" fillId="0" borderId="26" xfId="59" applyNumberFormat="1" applyFont="1" applyBorder="1"/>
    <xf numFmtId="4" fontId="68" fillId="0" borderId="0" xfId="59" applyNumberFormat="1" applyFont="1"/>
    <xf numFmtId="4" fontId="68" fillId="0" borderId="27" xfId="59" applyNumberFormat="1" applyFont="1" applyBorder="1"/>
    <xf numFmtId="4" fontId="68" fillId="0" borderId="36" xfId="59" applyNumberFormat="1" applyFont="1" applyBorder="1"/>
    <xf numFmtId="4" fontId="100" fillId="0" borderId="50" xfId="59" applyNumberFormat="1" applyFont="1" applyBorder="1"/>
    <xf numFmtId="3" fontId="100" fillId="0" borderId="50" xfId="59" applyNumberFormat="1" applyFont="1" applyBorder="1"/>
    <xf numFmtId="3" fontId="99" fillId="0" borderId="42" xfId="0" applyNumberFormat="1" applyFont="1" applyBorder="1" applyAlignment="1">
      <alignment horizontal="left"/>
    </xf>
    <xf numFmtId="4" fontId="100" fillId="0" borderId="42" xfId="59" applyNumberFormat="1" applyFont="1" applyBorder="1"/>
    <xf numFmtId="3" fontId="100" fillId="0" borderId="0" xfId="59" applyNumberFormat="1" applyFont="1"/>
    <xf numFmtId="4" fontId="68" fillId="0" borderId="67" xfId="59" applyNumberFormat="1" applyFont="1" applyBorder="1"/>
    <xf numFmtId="3" fontId="99" fillId="0" borderId="22" xfId="0" applyNumberFormat="1" applyFont="1" applyBorder="1" applyAlignment="1">
      <alignment horizontal="left" wrapText="1"/>
    </xf>
    <xf numFmtId="4" fontId="100" fillId="0" borderId="40" xfId="59" applyNumberFormat="1" applyFont="1" applyBorder="1"/>
    <xf numFmtId="3" fontId="99" fillId="0" borderId="22" xfId="0" applyNumberFormat="1" applyFont="1" applyBorder="1" applyAlignment="1">
      <alignment horizontal="left"/>
    </xf>
    <xf numFmtId="3" fontId="100" fillId="0" borderId="40" xfId="59" applyNumberFormat="1" applyFont="1" applyBorder="1"/>
    <xf numFmtId="4" fontId="68" fillId="0" borderId="40" xfId="59" applyNumberFormat="1" applyFont="1" applyBorder="1"/>
    <xf numFmtId="3" fontId="68" fillId="0" borderId="40" xfId="59" applyNumberFormat="1" applyFont="1" applyBorder="1"/>
    <xf numFmtId="4" fontId="72" fillId="0" borderId="39" xfId="59" applyNumberFormat="1" applyFont="1" applyBorder="1"/>
    <xf numFmtId="0" fontId="99" fillId="0" borderId="51" xfId="0" applyFont="1" applyBorder="1" applyAlignment="1">
      <alignment horizontal="left"/>
    </xf>
    <xf numFmtId="3" fontId="100" fillId="0" borderId="37" xfId="59" applyNumberFormat="1" applyFont="1" applyBorder="1"/>
    <xf numFmtId="4" fontId="100" fillId="0" borderId="37" xfId="59" applyNumberFormat="1" applyFont="1" applyBorder="1"/>
    <xf numFmtId="3" fontId="68" fillId="0" borderId="37" xfId="59" applyNumberFormat="1" applyFont="1" applyBorder="1"/>
    <xf numFmtId="4" fontId="68" fillId="0" borderId="42" xfId="59" applyNumberFormat="1" applyFont="1" applyBorder="1"/>
    <xf numFmtId="4" fontId="68" fillId="0" borderId="37" xfId="59" applyNumberFormat="1" applyFont="1" applyBorder="1"/>
    <xf numFmtId="4" fontId="94" fillId="0" borderId="30" xfId="59" applyNumberFormat="1" applyFont="1" applyBorder="1"/>
    <xf numFmtId="4" fontId="94" fillId="0" borderId="30" xfId="59" applyNumberFormat="1" applyFont="1" applyBorder="1" applyAlignment="1">
      <alignment horizontal="left"/>
    </xf>
    <xf numFmtId="0" fontId="39" fillId="0" borderId="0" xfId="59" applyFont="1"/>
    <xf numFmtId="0" fontId="36" fillId="0" borderId="0" xfId="59" applyFont="1"/>
    <xf numFmtId="0" fontId="36" fillId="0" borderId="0" xfId="0" applyFont="1" applyAlignment="1">
      <alignment horizontal="center"/>
    </xf>
    <xf numFmtId="3" fontId="39" fillId="0" borderId="0" xfId="0" applyNumberFormat="1" applyFont="1" applyAlignment="1">
      <alignment horizontal="center"/>
    </xf>
    <xf numFmtId="0" fontId="3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63" fillId="0" borderId="0" xfId="47" applyFont="1" applyAlignment="1">
      <alignment horizontal="center"/>
    </xf>
    <xf numFmtId="3" fontId="63" fillId="0" borderId="0" xfId="47" applyNumberFormat="1" applyFont="1" applyAlignment="1">
      <alignment horizontal="center"/>
    </xf>
    <xf numFmtId="3" fontId="63" fillId="0" borderId="24" xfId="47" applyNumberFormat="1" applyFont="1" applyBorder="1" applyAlignment="1">
      <alignment horizontal="center" wrapText="1"/>
    </xf>
    <xf numFmtId="3" fontId="63" fillId="0" borderId="25" xfId="47" applyNumberFormat="1" applyFont="1" applyBorder="1" applyAlignment="1">
      <alignment horizontal="center" wrapText="1"/>
    </xf>
    <xf numFmtId="3" fontId="63" fillId="0" borderId="67" xfId="47" applyNumberFormat="1" applyFont="1" applyBorder="1" applyAlignment="1">
      <alignment horizontal="center" wrapText="1"/>
    </xf>
    <xf numFmtId="3" fontId="63" fillId="0" borderId="24" xfId="47" applyNumberFormat="1" applyFont="1" applyBorder="1" applyAlignment="1">
      <alignment horizontal="center"/>
    </xf>
    <xf numFmtId="3" fontId="63" fillId="0" borderId="25" xfId="47" applyNumberFormat="1" applyFont="1" applyBorder="1" applyAlignment="1">
      <alignment horizontal="center"/>
    </xf>
    <xf numFmtId="3" fontId="63" fillId="0" borderId="67" xfId="47" applyNumberFormat="1" applyFont="1" applyBorder="1" applyAlignment="1">
      <alignment horizontal="center"/>
    </xf>
    <xf numFmtId="3" fontId="63" fillId="0" borderId="28" xfId="47" applyNumberFormat="1" applyFont="1" applyBorder="1" applyAlignment="1">
      <alignment horizontal="center"/>
    </xf>
    <xf numFmtId="3" fontId="63" fillId="0" borderId="29" xfId="47" applyNumberFormat="1" applyFont="1" applyBorder="1" applyAlignment="1">
      <alignment horizontal="center"/>
    </xf>
    <xf numFmtId="3" fontId="63" fillId="0" borderId="40" xfId="47" applyNumberFormat="1" applyFont="1" applyBorder="1" applyAlignment="1">
      <alignment horizontal="center"/>
    </xf>
    <xf numFmtId="0" fontId="24" fillId="0" borderId="0" xfId="57" applyFont="1" applyAlignment="1">
      <alignment horizontal="center"/>
    </xf>
    <xf numFmtId="0" fontId="74" fillId="0" borderId="0" xfId="58" applyFont="1" applyAlignment="1">
      <alignment horizontal="center" wrapText="1"/>
    </xf>
    <xf numFmtId="3" fontId="63" fillId="0" borderId="24" xfId="47" applyNumberFormat="1" applyFont="1" applyBorder="1" applyAlignment="1">
      <alignment horizontal="center" vertical="center" wrapText="1"/>
    </xf>
    <xf numFmtId="3" fontId="63" fillId="0" borderId="25" xfId="47" applyNumberFormat="1" applyFont="1" applyBorder="1" applyAlignment="1">
      <alignment horizontal="center" vertical="center" wrapText="1"/>
    </xf>
    <xf numFmtId="3" fontId="63" fillId="0" borderId="67" xfId="47" applyNumberFormat="1" applyFont="1" applyBorder="1" applyAlignment="1">
      <alignment horizontal="center" vertical="center" wrapText="1"/>
    </xf>
    <xf numFmtId="3" fontId="63" fillId="0" borderId="19" xfId="47" applyNumberFormat="1" applyFont="1" applyBorder="1" applyAlignment="1">
      <alignment horizontal="center" vertical="center" wrapText="1"/>
    </xf>
    <xf numFmtId="3" fontId="63" fillId="0" borderId="0" xfId="47" applyNumberFormat="1" applyFont="1" applyAlignment="1">
      <alignment horizontal="center" vertical="center" wrapText="1"/>
    </xf>
    <xf numFmtId="3" fontId="63" fillId="0" borderId="39" xfId="47" applyNumberFormat="1" applyFont="1" applyBorder="1" applyAlignment="1">
      <alignment horizontal="center" vertical="center" wrapText="1"/>
    </xf>
    <xf numFmtId="3" fontId="63" fillId="0" borderId="28" xfId="47" applyNumberFormat="1" applyFont="1" applyBorder="1" applyAlignment="1">
      <alignment horizontal="center" vertical="center" wrapText="1"/>
    </xf>
    <xf numFmtId="3" fontId="63" fillId="0" borderId="29" xfId="47" applyNumberFormat="1" applyFont="1" applyBorder="1" applyAlignment="1">
      <alignment horizontal="center" vertical="center" wrapText="1"/>
    </xf>
    <xf numFmtId="3" fontId="63" fillId="0" borderId="40" xfId="47" applyNumberFormat="1" applyFont="1" applyBorder="1" applyAlignment="1">
      <alignment horizontal="center" vertical="center" wrapText="1"/>
    </xf>
    <xf numFmtId="3" fontId="63" fillId="0" borderId="26" xfId="47" applyNumberFormat="1" applyFont="1" applyBorder="1" applyAlignment="1">
      <alignment horizontal="center" vertical="center"/>
    </xf>
    <xf numFmtId="3" fontId="63" fillId="0" borderId="27" xfId="47" applyNumberFormat="1" applyFont="1" applyBorder="1" applyAlignment="1">
      <alignment horizontal="center" vertical="center"/>
    </xf>
    <xf numFmtId="3" fontId="63" fillId="0" borderId="24" xfId="47" applyNumberFormat="1" applyFont="1" applyBorder="1" applyAlignment="1">
      <alignment horizontal="center" vertical="center"/>
    </xf>
    <xf numFmtId="3" fontId="63" fillId="0" borderId="25" xfId="47" applyNumberFormat="1" applyFont="1" applyBorder="1" applyAlignment="1">
      <alignment horizontal="center" vertical="center"/>
    </xf>
    <xf numFmtId="3" fontId="63" fillId="0" borderId="67" xfId="47" applyNumberFormat="1" applyFont="1" applyBorder="1" applyAlignment="1">
      <alignment horizontal="center" vertical="center"/>
    </xf>
    <xf numFmtId="3" fontId="63" fillId="0" borderId="19" xfId="47" applyNumberFormat="1" applyFont="1" applyBorder="1" applyAlignment="1">
      <alignment horizontal="center" vertical="center"/>
    </xf>
    <xf numFmtId="3" fontId="63" fillId="0" borderId="0" xfId="47" applyNumberFormat="1" applyFont="1" applyAlignment="1">
      <alignment horizontal="center" vertical="center"/>
    </xf>
    <xf numFmtId="3" fontId="63" fillId="0" borderId="39" xfId="47" applyNumberFormat="1" applyFont="1" applyBorder="1" applyAlignment="1">
      <alignment horizontal="center" vertical="center"/>
    </xf>
    <xf numFmtId="3" fontId="63" fillId="0" borderId="28" xfId="47" applyNumberFormat="1" applyFont="1" applyBorder="1" applyAlignment="1">
      <alignment horizontal="center" vertical="center"/>
    </xf>
    <xf numFmtId="3" fontId="63" fillId="0" borderId="29" xfId="47" applyNumberFormat="1" applyFont="1" applyBorder="1" applyAlignment="1">
      <alignment horizontal="center" vertical="center"/>
    </xf>
    <xf numFmtId="3" fontId="63" fillId="0" borderId="40" xfId="47" applyNumberFormat="1" applyFont="1" applyBorder="1" applyAlignment="1">
      <alignment horizontal="center" vertical="center"/>
    </xf>
    <xf numFmtId="4" fontId="94" fillId="0" borderId="44" xfId="59" applyNumberFormat="1" applyFont="1" applyBorder="1" applyAlignment="1">
      <alignment horizontal="center" wrapText="1"/>
    </xf>
    <xf numFmtId="4" fontId="94" fillId="0" borderId="45" xfId="59" applyNumberFormat="1" applyFont="1" applyBorder="1" applyAlignment="1">
      <alignment horizontal="center" wrapText="1"/>
    </xf>
    <xf numFmtId="0" fontId="65" fillId="0" borderId="0" xfId="59" applyFont="1" applyAlignment="1">
      <alignment horizontal="center"/>
    </xf>
    <xf numFmtId="0" fontId="38" fillId="0" borderId="29" xfId="59" applyFont="1" applyBorder="1" applyAlignment="1">
      <alignment horizontal="center"/>
    </xf>
    <xf numFmtId="0" fontId="68" fillId="25" borderId="44" xfId="59" applyFont="1" applyFill="1" applyBorder="1" applyAlignment="1">
      <alignment horizontal="center" vertical="center"/>
    </xf>
    <xf numFmtId="0" fontId="68" fillId="25" borderId="41" xfId="59" applyFont="1" applyFill="1" applyBorder="1" applyAlignment="1">
      <alignment horizontal="center" vertical="center"/>
    </xf>
    <xf numFmtId="0" fontId="68" fillId="25" borderId="45" xfId="59" applyFont="1" applyFill="1" applyBorder="1" applyAlignment="1">
      <alignment horizontal="center" vertical="center"/>
    </xf>
    <xf numFmtId="0" fontId="94" fillId="0" borderId="24" xfId="59" applyFont="1" applyBorder="1" applyAlignment="1">
      <alignment horizontal="center" wrapText="1"/>
    </xf>
    <xf numFmtId="0" fontId="94" fillId="0" borderId="67" xfId="59" applyFont="1" applyBorder="1" applyAlignment="1">
      <alignment horizontal="center" wrapText="1"/>
    </xf>
    <xf numFmtId="0" fontId="94" fillId="0" borderId="28" xfId="59" applyFont="1" applyBorder="1" applyAlignment="1">
      <alignment horizontal="center" wrapText="1"/>
    </xf>
    <xf numFmtId="0" fontId="94" fillId="0" borderId="40" xfId="59" applyFont="1" applyBorder="1" applyAlignment="1">
      <alignment horizontal="center" wrapText="1"/>
    </xf>
    <xf numFmtId="4" fontId="94" fillId="0" borderId="44" xfId="59" applyNumberFormat="1" applyFont="1" applyBorder="1" applyAlignment="1">
      <alignment horizontal="center"/>
    </xf>
    <xf numFmtId="4" fontId="94" fillId="0" borderId="41" xfId="59" applyNumberFormat="1" applyFont="1" applyBorder="1" applyAlignment="1">
      <alignment horizontal="center"/>
    </xf>
    <xf numFmtId="4" fontId="94" fillId="0" borderId="45" xfId="59" applyNumberFormat="1" applyFont="1" applyBorder="1" applyAlignment="1">
      <alignment horizontal="center"/>
    </xf>
    <xf numFmtId="3" fontId="94" fillId="0" borderId="44" xfId="59" applyNumberFormat="1" applyFont="1" applyBorder="1" applyAlignment="1">
      <alignment horizontal="center" vertical="center" wrapText="1"/>
    </xf>
    <xf numFmtId="3" fontId="94" fillId="0" borderId="41" xfId="59" applyNumberFormat="1" applyFont="1" applyBorder="1" applyAlignment="1">
      <alignment horizontal="center" vertical="center" wrapText="1"/>
    </xf>
    <xf numFmtId="3" fontId="94" fillId="0" borderId="45" xfId="59" applyNumberFormat="1" applyFont="1" applyBorder="1" applyAlignment="1">
      <alignment horizontal="center" vertical="center" wrapText="1"/>
    </xf>
    <xf numFmtId="3" fontId="94" fillId="0" borderId="44" xfId="59" applyNumberFormat="1" applyFont="1" applyBorder="1" applyAlignment="1">
      <alignment horizontal="center"/>
    </xf>
    <xf numFmtId="3" fontId="94" fillId="0" borderId="41" xfId="59" applyNumberFormat="1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wrapText="1"/>
    </xf>
    <xf numFmtId="0" fontId="35" fillId="0" borderId="55" xfId="48" applyFont="1" applyBorder="1" applyAlignment="1">
      <alignment horizontal="left"/>
    </xf>
    <xf numFmtId="0" fontId="35" fillId="0" borderId="54" xfId="48" applyFont="1" applyBorder="1" applyAlignment="1">
      <alignment horizontal="left"/>
    </xf>
    <xf numFmtId="0" fontId="35" fillId="0" borderId="11" xfId="48" applyFont="1" applyBorder="1" applyAlignment="1">
      <alignment horizontal="left"/>
    </xf>
    <xf numFmtId="0" fontId="35" fillId="0" borderId="50" xfId="48" applyFont="1" applyBorder="1" applyAlignment="1">
      <alignment horizontal="left"/>
    </xf>
    <xf numFmtId="0" fontId="35" fillId="0" borderId="44" xfId="48" applyFont="1" applyBorder="1" applyAlignment="1">
      <alignment horizontal="left"/>
    </xf>
    <xf numFmtId="0" fontId="35" fillId="0" borderId="41" xfId="48" applyFont="1" applyBorder="1" applyAlignment="1">
      <alignment horizontal="left"/>
    </xf>
    <xf numFmtId="0" fontId="36" fillId="0" borderId="0" xfId="48" applyFont="1" applyAlignment="1">
      <alignment horizontal="center"/>
    </xf>
    <xf numFmtId="0" fontId="36" fillId="0" borderId="24" xfId="48" applyFont="1" applyBorder="1" applyAlignment="1">
      <alignment horizontal="center"/>
    </xf>
    <xf numFmtId="0" fontId="36" fillId="0" borderId="25" xfId="48" applyFont="1" applyBorder="1" applyAlignment="1">
      <alignment horizontal="center"/>
    </xf>
    <xf numFmtId="0" fontId="31" fillId="0" borderId="19" xfId="48" applyFont="1" applyBorder="1" applyAlignment="1">
      <alignment horizontal="left"/>
    </xf>
    <xf numFmtId="0" fontId="31" fillId="0" borderId="0" xfId="48" applyFont="1" applyAlignment="1">
      <alignment horizontal="left"/>
    </xf>
    <xf numFmtId="0" fontId="39" fillId="0" borderId="0" xfId="48" applyFont="1" applyAlignment="1">
      <alignment horizontal="center"/>
    </xf>
    <xf numFmtId="0" fontId="35" fillId="0" borderId="0" xfId="50" applyFont="1" applyAlignment="1">
      <alignment horizontal="center"/>
    </xf>
  </cellXfs>
  <cellStyles count="61">
    <cellStyle name="20% - 1. jelölőszín" xfId="1" xr:uid="{00000000-0005-0000-0000-000000000000}"/>
    <cellStyle name="20% - 2. jelölőszín" xfId="2" xr:uid="{00000000-0005-0000-0000-000001000000}"/>
    <cellStyle name="20% - 3. jelölőszín" xfId="3" xr:uid="{00000000-0005-0000-0000-000002000000}"/>
    <cellStyle name="20% - 4. jelölőszín" xfId="4" xr:uid="{00000000-0005-0000-0000-000003000000}"/>
    <cellStyle name="20% - 5. jelölőszín" xfId="5" xr:uid="{00000000-0005-0000-0000-000004000000}"/>
    <cellStyle name="20% - 6. jelölőszín" xfId="6" xr:uid="{00000000-0005-0000-0000-000005000000}"/>
    <cellStyle name="40% - 1. jelölőszín" xfId="7" xr:uid="{00000000-0005-0000-0000-000006000000}"/>
    <cellStyle name="40% - 2. jelölőszín" xfId="8" xr:uid="{00000000-0005-0000-0000-000007000000}"/>
    <cellStyle name="40% - 3. jelölőszín" xfId="9" xr:uid="{00000000-0005-0000-0000-000008000000}"/>
    <cellStyle name="40% - 4. jelölőszín" xfId="10" xr:uid="{00000000-0005-0000-0000-000009000000}"/>
    <cellStyle name="40% - 5. jelölőszín" xfId="11" xr:uid="{00000000-0005-0000-0000-00000A000000}"/>
    <cellStyle name="40% - 6. jelölőszín" xfId="12" xr:uid="{00000000-0005-0000-0000-00000B000000}"/>
    <cellStyle name="60% - 1. jelölőszín" xfId="13" xr:uid="{00000000-0005-0000-0000-00000C000000}"/>
    <cellStyle name="60% - 2. jelölőszín" xfId="14" xr:uid="{00000000-0005-0000-0000-00000D000000}"/>
    <cellStyle name="60% - 3. jelölőszín" xfId="15" xr:uid="{00000000-0005-0000-0000-00000E000000}"/>
    <cellStyle name="60% - 4. jelölőszín" xfId="16" xr:uid="{00000000-0005-0000-0000-00000F000000}"/>
    <cellStyle name="60% - 5. jelölőszín" xfId="17" xr:uid="{00000000-0005-0000-0000-000010000000}"/>
    <cellStyle name="60% - 6. jelölőszín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Bevitel" xfId="26" xr:uid="{00000000-0005-0000-0000-000019000000}"/>
    <cellStyle name="Calculation" xfId="27" xr:uid="{00000000-0005-0000-0000-00001A000000}"/>
    <cellStyle name="Check Cell" xfId="28" xr:uid="{00000000-0005-0000-0000-00001B000000}"/>
    <cellStyle name="Cím" xfId="29" xr:uid="{00000000-0005-0000-0000-00001C000000}"/>
    <cellStyle name="Címsor 1" xfId="30" xr:uid="{00000000-0005-0000-0000-00001D000000}"/>
    <cellStyle name="Címsor 2" xfId="31" xr:uid="{00000000-0005-0000-0000-00001E000000}"/>
    <cellStyle name="Címsor 3" xfId="32" xr:uid="{00000000-0005-0000-0000-00001F000000}"/>
    <cellStyle name="Címsor 4" xfId="33" xr:uid="{00000000-0005-0000-0000-000020000000}"/>
    <cellStyle name="Ellenőrzőcella" xfId="34" xr:uid="{00000000-0005-0000-0000-000021000000}"/>
    <cellStyle name="Explanatory Text" xfId="35" xr:uid="{00000000-0005-0000-0000-000022000000}"/>
    <cellStyle name="Ezres" xfId="36" builtinId="3"/>
    <cellStyle name="Figyelmeztetés" xfId="37" xr:uid="{00000000-0005-0000-0000-000024000000}"/>
    <cellStyle name="Good" xfId="38" xr:uid="{00000000-0005-0000-0000-000025000000}"/>
    <cellStyle name="Hivatkozott cella" xfId="39" xr:uid="{00000000-0005-0000-0000-000026000000}"/>
    <cellStyle name="Jegyzet" xfId="40" xr:uid="{00000000-0005-0000-0000-000027000000}"/>
    <cellStyle name="Jó" xfId="41" xr:uid="{00000000-0005-0000-0000-000028000000}"/>
    <cellStyle name="Kimenet" xfId="42" xr:uid="{00000000-0005-0000-0000-000029000000}"/>
    <cellStyle name="Magyarázó szöveg" xfId="43" xr:uid="{00000000-0005-0000-0000-00002A000000}"/>
    <cellStyle name="Neutral" xfId="44" xr:uid="{00000000-0005-0000-0000-00002B000000}"/>
    <cellStyle name="Normál" xfId="0" builtinId="0"/>
    <cellStyle name="Normal 2" xfId="45" xr:uid="{00000000-0005-0000-0000-00002D000000}"/>
    <cellStyle name="Normál 2" xfId="46" xr:uid="{00000000-0005-0000-0000-00002E000000}"/>
    <cellStyle name="Normál 3" xfId="47" xr:uid="{00000000-0005-0000-0000-00002F000000}"/>
    <cellStyle name="Normál 4" xfId="56" xr:uid="{00000000-0005-0000-0000-000030000000}"/>
    <cellStyle name="Normál 5" xfId="58" xr:uid="{F459258A-F776-4864-8EA1-D784EEF3E9FA}"/>
    <cellStyle name="Normál_99LETSZ_LETSZ02" xfId="59" xr:uid="{FEB187E8-5022-4FB2-A1E1-C1A9EBEA357D}"/>
    <cellStyle name="Normál_GUCIFEJL" xfId="48" xr:uid="{00000000-0005-0000-0000-000033000000}"/>
    <cellStyle name="Normál_IKÖZI" xfId="57" xr:uid="{AD2AA8BE-4BDD-4444-804D-000973B47D8B}"/>
    <cellStyle name="Normál_kiemelt eik 2013" xfId="49" xr:uid="{00000000-0005-0000-0000-000034000000}"/>
    <cellStyle name="Normál_LETSZ06" xfId="60" xr:uid="{8CD9FCC4-04E1-467D-A713-4C6438EFAEE1}"/>
    <cellStyle name="Normál_módIV12önk" xfId="50" xr:uid="{00000000-0005-0000-0000-000035000000}"/>
    <cellStyle name="Normál_Munkafüzet2" xfId="51" xr:uid="{00000000-0005-0000-0000-000036000000}"/>
    <cellStyle name="Összesen" xfId="52" xr:uid="{00000000-0005-0000-0000-000037000000}"/>
    <cellStyle name="Rossz" xfId="53" xr:uid="{00000000-0005-0000-0000-000038000000}"/>
    <cellStyle name="Semleges" xfId="54" xr:uid="{00000000-0005-0000-0000-000039000000}"/>
    <cellStyle name="Számítás" xfId="55" xr:uid="{00000000-0005-0000-0000-00003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kozgazd\2025\Rendeletm&#243;dos&#237;t&#225;s\INTrend.m&#243;d.2025.xls" TargetMode="External"/><Relationship Id="rId1" Type="http://schemas.openxmlformats.org/officeDocument/2006/relationships/externalLinkPath" Target="file:///O:\kozgazd\2025\Rendeletm&#243;dos&#237;t&#225;s\INTrend.m&#243;d.202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kozgazd\2025\Rendeletm&#243;dos&#237;t&#225;s\Int.l&#233;tsz&#225;m2025.xls" TargetMode="External"/><Relationship Id="rId1" Type="http://schemas.openxmlformats.org/officeDocument/2006/relationships/externalLinkPath" Target="file:///O:\kozgazd\2025\Rendeletm&#243;dos&#237;t&#225;s\Int.l&#233;tsz&#225;m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.bevételek RM II maradvány"/>
      <sheetName val="int.kiadások RM II maradvány"/>
      <sheetName val="int.bevételek RM I"/>
      <sheetName val="int.kiadások RM I"/>
      <sheetName val="int.bevételek RM II"/>
      <sheetName val="int.kiadások RM II"/>
      <sheetName val="int.bevételek RM III"/>
      <sheetName val="int.kiadások RM III"/>
    </sheetNames>
    <sheetDataSet>
      <sheetData sheetId="0">
        <row r="10">
          <cell r="AI10">
            <v>2312</v>
          </cell>
          <cell r="AS10">
            <v>3503</v>
          </cell>
        </row>
        <row r="11">
          <cell r="AI11">
            <v>2747</v>
          </cell>
          <cell r="AS11">
            <v>2255</v>
          </cell>
        </row>
        <row r="12">
          <cell r="AI12">
            <v>2786</v>
          </cell>
          <cell r="AS12">
            <v>3980</v>
          </cell>
        </row>
        <row r="13">
          <cell r="AI13">
            <v>2178</v>
          </cell>
          <cell r="AS13">
            <v>1802</v>
          </cell>
        </row>
        <row r="14">
          <cell r="AI14">
            <v>1134</v>
          </cell>
          <cell r="AS14">
            <v>1704</v>
          </cell>
        </row>
        <row r="15">
          <cell r="AI15">
            <v>2103</v>
          </cell>
          <cell r="AS15">
            <v>3677</v>
          </cell>
        </row>
        <row r="16">
          <cell r="AI16">
            <v>1185</v>
          </cell>
          <cell r="AS16">
            <v>1272</v>
          </cell>
        </row>
        <row r="17">
          <cell r="AI17">
            <v>2977</v>
          </cell>
          <cell r="AS17">
            <v>9379</v>
          </cell>
        </row>
        <row r="18">
          <cell r="AI18">
            <v>2819</v>
          </cell>
          <cell r="AS18">
            <v>7000</v>
          </cell>
        </row>
        <row r="19">
          <cell r="AI19">
            <v>2377</v>
          </cell>
          <cell r="AS19">
            <v>3093</v>
          </cell>
        </row>
        <row r="20">
          <cell r="AI20">
            <v>846</v>
          </cell>
          <cell r="AS20">
            <v>1568</v>
          </cell>
        </row>
        <row r="21">
          <cell r="AI21">
            <v>1420</v>
          </cell>
          <cell r="AS21">
            <v>5530</v>
          </cell>
        </row>
        <row r="22">
          <cell r="AI22">
            <v>1567</v>
          </cell>
          <cell r="AS22">
            <v>1977</v>
          </cell>
        </row>
        <row r="23">
          <cell r="AI23">
            <v>2253</v>
          </cell>
          <cell r="AS23">
            <v>3381</v>
          </cell>
        </row>
        <row r="24">
          <cell r="AI24">
            <v>2458</v>
          </cell>
          <cell r="AS24">
            <v>8759</v>
          </cell>
        </row>
        <row r="25">
          <cell r="AI25">
            <v>2255</v>
          </cell>
          <cell r="AS25">
            <v>9996</v>
          </cell>
        </row>
        <row r="26">
          <cell r="AI26">
            <v>1419</v>
          </cell>
          <cell r="AS26">
            <v>5394</v>
          </cell>
        </row>
        <row r="27">
          <cell r="AI27">
            <v>1808</v>
          </cell>
          <cell r="AS27">
            <v>1448</v>
          </cell>
        </row>
        <row r="29">
          <cell r="AI29">
            <v>16061</v>
          </cell>
          <cell r="AS29">
            <v>78976</v>
          </cell>
        </row>
        <row r="33">
          <cell r="AI33">
            <v>38505</v>
          </cell>
          <cell r="AS33">
            <v>15776</v>
          </cell>
        </row>
        <row r="34">
          <cell r="AI34">
            <v>211042</v>
          </cell>
          <cell r="AS34">
            <v>32300</v>
          </cell>
        </row>
        <row r="35">
          <cell r="AI35">
            <v>23795</v>
          </cell>
          <cell r="AS35">
            <v>4830</v>
          </cell>
        </row>
        <row r="36">
          <cell r="AI36">
            <v>107927</v>
          </cell>
          <cell r="AS36">
            <v>22034</v>
          </cell>
        </row>
        <row r="39">
          <cell r="AI39">
            <v>1947</v>
          </cell>
          <cell r="AS39">
            <v>54794</v>
          </cell>
        </row>
        <row r="41">
          <cell r="AI41">
            <v>215298</v>
          </cell>
          <cell r="AS41">
            <v>-28885</v>
          </cell>
        </row>
        <row r="43">
          <cell r="AI43">
            <v>3170</v>
          </cell>
          <cell r="AS43">
            <v>9215</v>
          </cell>
        </row>
        <row r="45">
          <cell r="AI45">
            <v>24519</v>
          </cell>
          <cell r="AS45">
            <v>2928</v>
          </cell>
        </row>
        <row r="46">
          <cell r="AI46">
            <v>11268</v>
          </cell>
          <cell r="AS46">
            <v>225157</v>
          </cell>
        </row>
      </sheetData>
      <sheetData sheetId="1">
        <row r="10">
          <cell r="C10">
            <v>4529</v>
          </cell>
          <cell r="F10">
            <v>570</v>
          </cell>
          <cell r="I10">
            <v>716</v>
          </cell>
        </row>
        <row r="11">
          <cell r="C11">
            <v>3894</v>
          </cell>
          <cell r="F11">
            <v>490</v>
          </cell>
          <cell r="I11">
            <v>618</v>
          </cell>
        </row>
        <row r="12">
          <cell r="C12">
            <v>5996</v>
          </cell>
          <cell r="F12">
            <v>770</v>
          </cell>
        </row>
        <row r="13">
          <cell r="C13">
            <v>3632</v>
          </cell>
          <cell r="F13">
            <v>348</v>
          </cell>
        </row>
        <row r="14">
          <cell r="C14">
            <v>2432</v>
          </cell>
          <cell r="F14">
            <v>211</v>
          </cell>
          <cell r="I14">
            <v>195</v>
          </cell>
        </row>
        <row r="15">
          <cell r="C15">
            <v>3977</v>
          </cell>
          <cell r="F15">
            <v>395</v>
          </cell>
          <cell r="I15">
            <v>1408</v>
          </cell>
        </row>
        <row r="16">
          <cell r="C16">
            <v>1612</v>
          </cell>
          <cell r="F16">
            <v>221</v>
          </cell>
          <cell r="I16">
            <v>624</v>
          </cell>
        </row>
        <row r="17">
          <cell r="C17">
            <v>8112</v>
          </cell>
          <cell r="F17">
            <v>1065</v>
          </cell>
          <cell r="I17">
            <v>354</v>
          </cell>
          <cell r="W17">
            <v>2825</v>
          </cell>
        </row>
        <row r="18">
          <cell r="C18">
            <v>6669</v>
          </cell>
          <cell r="F18">
            <v>873</v>
          </cell>
          <cell r="I18">
            <v>1252</v>
          </cell>
          <cell r="W18">
            <v>1025</v>
          </cell>
        </row>
        <row r="19">
          <cell r="C19">
            <v>4657</v>
          </cell>
          <cell r="F19">
            <v>458</v>
          </cell>
          <cell r="I19">
            <v>355</v>
          </cell>
        </row>
        <row r="20">
          <cell r="C20">
            <v>1127</v>
          </cell>
          <cell r="F20">
            <v>165</v>
          </cell>
          <cell r="I20">
            <v>1122</v>
          </cell>
        </row>
        <row r="21">
          <cell r="C21">
            <v>6141</v>
          </cell>
          <cell r="F21">
            <v>809</v>
          </cell>
        </row>
        <row r="22">
          <cell r="C22">
            <v>2822</v>
          </cell>
          <cell r="F22">
            <v>372</v>
          </cell>
          <cell r="I22">
            <v>350</v>
          </cell>
        </row>
        <row r="23">
          <cell r="C23">
            <v>4788</v>
          </cell>
          <cell r="F23">
            <v>571</v>
          </cell>
          <cell r="I23">
            <v>275</v>
          </cell>
        </row>
        <row r="24">
          <cell r="C24">
            <v>9688</v>
          </cell>
          <cell r="F24">
            <v>1237</v>
          </cell>
          <cell r="I24">
            <v>292</v>
          </cell>
        </row>
        <row r="25">
          <cell r="C25">
            <v>5322</v>
          </cell>
          <cell r="F25">
            <v>621</v>
          </cell>
          <cell r="I25">
            <v>2216</v>
          </cell>
          <cell r="W25">
            <v>4092</v>
          </cell>
        </row>
        <row r="26">
          <cell r="C26">
            <v>2374</v>
          </cell>
          <cell r="F26">
            <v>301</v>
          </cell>
          <cell r="I26">
            <v>1655</v>
          </cell>
          <cell r="W26">
            <v>2483</v>
          </cell>
        </row>
        <row r="27">
          <cell r="C27">
            <v>2504</v>
          </cell>
          <cell r="F27">
            <v>240</v>
          </cell>
          <cell r="I27">
            <v>512</v>
          </cell>
        </row>
        <row r="29">
          <cell r="C29">
            <v>19257</v>
          </cell>
          <cell r="F29">
            <v>2488</v>
          </cell>
          <cell r="I29">
            <v>24615</v>
          </cell>
          <cell r="W29">
            <v>20571</v>
          </cell>
          <cell r="Z29">
            <v>28106</v>
          </cell>
        </row>
        <row r="33">
          <cell r="C33">
            <v>7929</v>
          </cell>
          <cell r="F33">
            <v>1751</v>
          </cell>
          <cell r="I33">
            <v>44600</v>
          </cell>
          <cell r="W33">
            <v>1</v>
          </cell>
        </row>
        <row r="34">
          <cell r="C34">
            <v>63373</v>
          </cell>
          <cell r="F34">
            <v>19945</v>
          </cell>
          <cell r="I34">
            <v>157738</v>
          </cell>
          <cell r="W34">
            <v>2286</v>
          </cell>
        </row>
        <row r="35">
          <cell r="C35">
            <v>12709</v>
          </cell>
          <cell r="F35">
            <v>1901</v>
          </cell>
          <cell r="I35">
            <v>14015</v>
          </cell>
        </row>
        <row r="36">
          <cell r="C36">
            <v>5246</v>
          </cell>
          <cell r="F36">
            <v>682</v>
          </cell>
          <cell r="I36">
            <v>118382</v>
          </cell>
          <cell r="W36">
            <v>5651</v>
          </cell>
        </row>
        <row r="39">
          <cell r="C39">
            <v>7883</v>
          </cell>
          <cell r="F39">
            <v>2885</v>
          </cell>
          <cell r="I39">
            <v>20701</v>
          </cell>
          <cell r="W39">
            <v>8840</v>
          </cell>
          <cell r="Z39">
            <v>16432</v>
          </cell>
        </row>
        <row r="41">
          <cell r="C41">
            <v>47408</v>
          </cell>
          <cell r="F41">
            <v>12039</v>
          </cell>
          <cell r="I41">
            <v>124050</v>
          </cell>
          <cell r="W41">
            <v>2916</v>
          </cell>
        </row>
        <row r="43">
          <cell r="W43">
            <v>9691</v>
          </cell>
          <cell r="Z43">
            <v>2694</v>
          </cell>
        </row>
        <row r="45">
          <cell r="C45">
            <v>1366</v>
          </cell>
          <cell r="F45">
            <v>324</v>
          </cell>
          <cell r="I45">
            <v>21572</v>
          </cell>
          <cell r="W45">
            <v>4185</v>
          </cell>
        </row>
        <row r="46">
          <cell r="C46">
            <v>155921</v>
          </cell>
          <cell r="F46">
            <v>25090</v>
          </cell>
          <cell r="I46">
            <v>34291</v>
          </cell>
          <cell r="W46">
            <v>21123</v>
          </cell>
        </row>
      </sheetData>
      <sheetData sheetId="2">
        <row r="10">
          <cell r="D10">
            <v>1712</v>
          </cell>
          <cell r="G10">
            <v>0</v>
          </cell>
          <cell r="J10">
            <v>0</v>
          </cell>
          <cell r="M10">
            <v>0</v>
          </cell>
          <cell r="T10">
            <v>0</v>
          </cell>
          <cell r="W10">
            <v>0</v>
          </cell>
          <cell r="Z10">
            <v>0</v>
          </cell>
          <cell r="AJ10">
            <v>0</v>
          </cell>
          <cell r="AM10">
            <v>274286</v>
          </cell>
        </row>
        <row r="11">
          <cell r="D11">
            <v>736</v>
          </cell>
          <cell r="G11">
            <v>0</v>
          </cell>
          <cell r="J11">
            <v>0</v>
          </cell>
          <cell r="M11">
            <v>0</v>
          </cell>
          <cell r="T11">
            <v>0</v>
          </cell>
          <cell r="W11">
            <v>0</v>
          </cell>
          <cell r="Z11">
            <v>0</v>
          </cell>
          <cell r="AJ11">
            <v>0</v>
          </cell>
          <cell r="AM11">
            <v>187998</v>
          </cell>
        </row>
        <row r="12">
          <cell r="D12">
            <v>1320</v>
          </cell>
          <cell r="G12">
            <v>0</v>
          </cell>
          <cell r="J12">
            <v>0</v>
          </cell>
          <cell r="M12">
            <v>0</v>
          </cell>
          <cell r="T12">
            <v>0</v>
          </cell>
          <cell r="W12">
            <v>0</v>
          </cell>
          <cell r="Z12">
            <v>0</v>
          </cell>
          <cell r="AJ12">
            <v>0</v>
          </cell>
          <cell r="AM12">
            <v>198404</v>
          </cell>
        </row>
        <row r="13">
          <cell r="D13">
            <v>1224</v>
          </cell>
          <cell r="G13">
            <v>0</v>
          </cell>
          <cell r="J13">
            <v>0</v>
          </cell>
          <cell r="M13">
            <v>0</v>
          </cell>
          <cell r="T13">
            <v>0</v>
          </cell>
          <cell r="W13">
            <v>0</v>
          </cell>
          <cell r="Z13">
            <v>0</v>
          </cell>
          <cell r="AJ13">
            <v>0</v>
          </cell>
          <cell r="AM13">
            <v>239897</v>
          </cell>
        </row>
        <row r="14">
          <cell r="D14">
            <v>1016</v>
          </cell>
          <cell r="G14">
            <v>0</v>
          </cell>
          <cell r="J14">
            <v>0</v>
          </cell>
          <cell r="M14">
            <v>0</v>
          </cell>
          <cell r="T14">
            <v>0</v>
          </cell>
          <cell r="W14">
            <v>0</v>
          </cell>
          <cell r="Z14">
            <v>0</v>
          </cell>
          <cell r="AJ14">
            <v>0</v>
          </cell>
          <cell r="AM14">
            <v>227264</v>
          </cell>
        </row>
        <row r="15">
          <cell r="D15">
            <v>1304</v>
          </cell>
          <cell r="G15">
            <v>0</v>
          </cell>
          <cell r="J15">
            <v>0</v>
          </cell>
          <cell r="M15">
            <v>0</v>
          </cell>
          <cell r="T15">
            <v>0</v>
          </cell>
          <cell r="W15">
            <v>0</v>
          </cell>
          <cell r="Z15">
            <v>0</v>
          </cell>
          <cell r="AJ15">
            <v>0</v>
          </cell>
          <cell r="AM15">
            <v>205975</v>
          </cell>
        </row>
        <row r="16">
          <cell r="D16">
            <v>1560</v>
          </cell>
          <cell r="G16">
            <v>0</v>
          </cell>
          <cell r="J16">
            <v>0</v>
          </cell>
          <cell r="M16">
            <v>0</v>
          </cell>
          <cell r="T16">
            <v>0</v>
          </cell>
          <cell r="W16">
            <v>0</v>
          </cell>
          <cell r="Z16">
            <v>0</v>
          </cell>
          <cell r="AJ16">
            <v>0</v>
          </cell>
          <cell r="AM16">
            <v>156466</v>
          </cell>
        </row>
        <row r="17">
          <cell r="D17">
            <v>1216</v>
          </cell>
          <cell r="G17">
            <v>0</v>
          </cell>
          <cell r="J17">
            <v>0</v>
          </cell>
          <cell r="M17">
            <v>0</v>
          </cell>
          <cell r="T17">
            <v>0</v>
          </cell>
          <cell r="W17">
            <v>0</v>
          </cell>
          <cell r="Z17">
            <v>0</v>
          </cell>
          <cell r="AJ17">
            <v>0</v>
          </cell>
          <cell r="AM17">
            <v>167727</v>
          </cell>
        </row>
        <row r="18">
          <cell r="D18">
            <v>760</v>
          </cell>
          <cell r="G18">
            <v>0</v>
          </cell>
          <cell r="J18">
            <v>0</v>
          </cell>
          <cell r="M18">
            <v>0</v>
          </cell>
          <cell r="T18">
            <v>0</v>
          </cell>
          <cell r="W18">
            <v>0</v>
          </cell>
          <cell r="Z18">
            <v>0</v>
          </cell>
          <cell r="AJ18">
            <v>0</v>
          </cell>
          <cell r="AM18">
            <v>230100</v>
          </cell>
        </row>
        <row r="19">
          <cell r="D19">
            <v>2920</v>
          </cell>
          <cell r="G19">
            <v>0</v>
          </cell>
          <cell r="J19">
            <v>0</v>
          </cell>
          <cell r="M19">
            <v>0</v>
          </cell>
          <cell r="T19">
            <v>0</v>
          </cell>
          <cell r="W19">
            <v>0</v>
          </cell>
          <cell r="Z19">
            <v>0</v>
          </cell>
          <cell r="AJ19">
            <v>0</v>
          </cell>
          <cell r="AM19">
            <v>285732</v>
          </cell>
        </row>
        <row r="20">
          <cell r="D20">
            <v>680</v>
          </cell>
          <cell r="G20">
            <v>0</v>
          </cell>
          <cell r="J20">
            <v>0</v>
          </cell>
          <cell r="M20">
            <v>0</v>
          </cell>
          <cell r="T20">
            <v>0</v>
          </cell>
          <cell r="W20">
            <v>0</v>
          </cell>
          <cell r="Z20">
            <v>0</v>
          </cell>
          <cell r="AJ20">
            <v>0</v>
          </cell>
          <cell r="AM20">
            <v>135344</v>
          </cell>
        </row>
        <row r="21">
          <cell r="D21">
            <v>1040</v>
          </cell>
          <cell r="G21">
            <v>0</v>
          </cell>
          <cell r="J21">
            <v>0</v>
          </cell>
          <cell r="M21">
            <v>0</v>
          </cell>
          <cell r="T21">
            <v>0</v>
          </cell>
          <cell r="W21">
            <v>0</v>
          </cell>
          <cell r="Z21">
            <v>0</v>
          </cell>
          <cell r="AJ21">
            <v>0</v>
          </cell>
          <cell r="AM21">
            <v>129802</v>
          </cell>
        </row>
        <row r="22">
          <cell r="D22">
            <v>1176</v>
          </cell>
          <cell r="G22">
            <v>0</v>
          </cell>
          <cell r="J22">
            <v>0</v>
          </cell>
          <cell r="M22">
            <v>0</v>
          </cell>
          <cell r="T22">
            <v>0</v>
          </cell>
          <cell r="W22">
            <v>0</v>
          </cell>
          <cell r="Z22">
            <v>0</v>
          </cell>
          <cell r="AJ22">
            <v>0</v>
          </cell>
          <cell r="AM22">
            <v>160936</v>
          </cell>
        </row>
        <row r="23">
          <cell r="D23">
            <v>472</v>
          </cell>
          <cell r="G23">
            <v>0</v>
          </cell>
          <cell r="J23">
            <v>0</v>
          </cell>
          <cell r="M23">
            <v>0</v>
          </cell>
          <cell r="T23">
            <v>0</v>
          </cell>
          <cell r="W23">
            <v>0</v>
          </cell>
          <cell r="Z23">
            <v>0</v>
          </cell>
          <cell r="AJ23">
            <v>0</v>
          </cell>
          <cell r="AM23">
            <v>191931</v>
          </cell>
        </row>
        <row r="24">
          <cell r="D24">
            <v>1448</v>
          </cell>
          <cell r="G24">
            <v>0</v>
          </cell>
          <cell r="J24">
            <v>0</v>
          </cell>
          <cell r="M24">
            <v>0</v>
          </cell>
          <cell r="T24">
            <v>0</v>
          </cell>
          <cell r="W24">
            <v>0</v>
          </cell>
          <cell r="Z24">
            <v>0</v>
          </cell>
          <cell r="AJ24">
            <v>0</v>
          </cell>
          <cell r="AM24">
            <v>266280</v>
          </cell>
        </row>
        <row r="25">
          <cell r="D25">
            <v>360</v>
          </cell>
          <cell r="G25">
            <v>0</v>
          </cell>
          <cell r="J25">
            <v>0</v>
          </cell>
          <cell r="M25">
            <v>0</v>
          </cell>
          <cell r="T25">
            <v>0</v>
          </cell>
          <cell r="W25">
            <v>0</v>
          </cell>
          <cell r="Z25">
            <v>0</v>
          </cell>
          <cell r="AJ25">
            <v>0</v>
          </cell>
          <cell r="AM25">
            <v>194627</v>
          </cell>
        </row>
        <row r="26">
          <cell r="D26">
            <v>1000</v>
          </cell>
          <cell r="G26">
            <v>0</v>
          </cell>
          <cell r="J26">
            <v>0</v>
          </cell>
          <cell r="M26">
            <v>0</v>
          </cell>
          <cell r="T26">
            <v>0</v>
          </cell>
          <cell r="W26">
            <v>0</v>
          </cell>
          <cell r="Z26">
            <v>0</v>
          </cell>
          <cell r="AJ26">
            <v>0</v>
          </cell>
          <cell r="AM26">
            <v>147733</v>
          </cell>
        </row>
        <row r="27">
          <cell r="D27">
            <v>840</v>
          </cell>
          <cell r="G27">
            <v>0</v>
          </cell>
          <cell r="J27">
            <v>0</v>
          </cell>
          <cell r="M27">
            <v>0</v>
          </cell>
          <cell r="T27">
            <v>0</v>
          </cell>
          <cell r="W27">
            <v>0</v>
          </cell>
          <cell r="Z27">
            <v>0</v>
          </cell>
          <cell r="AJ27">
            <v>0</v>
          </cell>
          <cell r="AM27">
            <v>119614</v>
          </cell>
        </row>
        <row r="29">
          <cell r="D29">
            <v>658521</v>
          </cell>
          <cell r="G29">
            <v>0</v>
          </cell>
          <cell r="J29">
            <v>0</v>
          </cell>
          <cell r="M29">
            <v>0</v>
          </cell>
          <cell r="T29">
            <v>0</v>
          </cell>
          <cell r="W29">
            <v>0</v>
          </cell>
          <cell r="Z29">
            <v>0</v>
          </cell>
          <cell r="AJ29">
            <v>0</v>
          </cell>
          <cell r="AM29">
            <v>1836748</v>
          </cell>
        </row>
        <row r="33">
          <cell r="D33">
            <v>28471</v>
          </cell>
          <cell r="G33">
            <v>0</v>
          </cell>
          <cell r="J33">
            <v>0</v>
          </cell>
          <cell r="M33">
            <v>0</v>
          </cell>
          <cell r="T33">
            <v>0</v>
          </cell>
          <cell r="W33">
            <v>0</v>
          </cell>
          <cell r="Z33">
            <v>0</v>
          </cell>
          <cell r="AJ33">
            <v>0</v>
          </cell>
          <cell r="AM33">
            <v>134055</v>
          </cell>
        </row>
        <row r="34">
          <cell r="D34">
            <v>113344</v>
          </cell>
          <cell r="G34">
            <v>0</v>
          </cell>
          <cell r="J34">
            <v>0</v>
          </cell>
          <cell r="M34">
            <v>0</v>
          </cell>
          <cell r="T34">
            <v>0</v>
          </cell>
          <cell r="W34">
            <v>0</v>
          </cell>
          <cell r="Z34">
            <v>0</v>
          </cell>
          <cell r="AJ34">
            <v>0</v>
          </cell>
          <cell r="AM34">
            <v>468016</v>
          </cell>
        </row>
        <row r="35">
          <cell r="D35">
            <v>32900</v>
          </cell>
          <cell r="G35">
            <v>0</v>
          </cell>
          <cell r="J35">
            <v>0</v>
          </cell>
          <cell r="M35">
            <v>0</v>
          </cell>
          <cell r="T35">
            <v>0</v>
          </cell>
          <cell r="W35">
            <v>0</v>
          </cell>
          <cell r="Z35">
            <v>0</v>
          </cell>
          <cell r="AJ35">
            <v>0</v>
          </cell>
          <cell r="AM35">
            <v>291995</v>
          </cell>
        </row>
        <row r="36">
          <cell r="D36">
            <v>154078</v>
          </cell>
          <cell r="G36">
            <v>0</v>
          </cell>
          <cell r="J36">
            <v>0</v>
          </cell>
          <cell r="M36">
            <v>0</v>
          </cell>
          <cell r="T36">
            <v>0</v>
          </cell>
          <cell r="W36">
            <v>0</v>
          </cell>
          <cell r="Z36">
            <v>0</v>
          </cell>
          <cell r="AJ36">
            <v>0</v>
          </cell>
          <cell r="AM36">
            <v>602349</v>
          </cell>
        </row>
        <row r="39">
          <cell r="D39">
            <v>197479</v>
          </cell>
          <cell r="G39">
            <v>0</v>
          </cell>
          <cell r="J39">
            <v>0</v>
          </cell>
          <cell r="M39">
            <v>0</v>
          </cell>
          <cell r="T39">
            <v>0</v>
          </cell>
          <cell r="W39">
            <v>0</v>
          </cell>
          <cell r="Z39">
            <v>0</v>
          </cell>
          <cell r="AJ39">
            <v>0</v>
          </cell>
          <cell r="AM39">
            <v>1520185</v>
          </cell>
        </row>
        <row r="41">
          <cell r="D41">
            <v>39495</v>
          </cell>
          <cell r="G41">
            <v>449270</v>
          </cell>
          <cell r="J41">
            <v>0</v>
          </cell>
          <cell r="M41">
            <v>0</v>
          </cell>
          <cell r="T41">
            <v>0</v>
          </cell>
          <cell r="W41">
            <v>0</v>
          </cell>
          <cell r="AJ41">
            <v>0</v>
          </cell>
          <cell r="AM41">
            <v>356057</v>
          </cell>
        </row>
        <row r="43">
          <cell r="D43">
            <v>97148</v>
          </cell>
          <cell r="G43">
            <v>0</v>
          </cell>
          <cell r="J43">
            <v>0</v>
          </cell>
          <cell r="M43">
            <v>0</v>
          </cell>
          <cell r="T43">
            <v>0</v>
          </cell>
          <cell r="W43">
            <v>0</v>
          </cell>
          <cell r="Z43">
            <v>0</v>
          </cell>
          <cell r="AJ43">
            <v>0</v>
          </cell>
          <cell r="AM43">
            <v>1883417</v>
          </cell>
        </row>
        <row r="45">
          <cell r="D45">
            <v>188823</v>
          </cell>
          <cell r="G45">
            <v>0</v>
          </cell>
          <cell r="J45">
            <v>0</v>
          </cell>
          <cell r="M45">
            <v>0</v>
          </cell>
          <cell r="T45">
            <v>0</v>
          </cell>
          <cell r="W45">
            <v>0</v>
          </cell>
          <cell r="Z45">
            <v>0</v>
          </cell>
          <cell r="AJ45">
            <v>0</v>
          </cell>
          <cell r="AM45">
            <v>20195</v>
          </cell>
        </row>
        <row r="46">
          <cell r="D46">
            <v>17150</v>
          </cell>
          <cell r="G46">
            <v>0</v>
          </cell>
          <cell r="J46">
            <v>0</v>
          </cell>
          <cell r="M46">
            <v>1850</v>
          </cell>
          <cell r="T46">
            <v>0</v>
          </cell>
          <cell r="W46">
            <v>0</v>
          </cell>
          <cell r="Z46">
            <v>0</v>
          </cell>
          <cell r="AJ46">
            <v>0</v>
          </cell>
          <cell r="AM46">
            <v>3187217</v>
          </cell>
        </row>
      </sheetData>
      <sheetData sheetId="3">
        <row r="10">
          <cell r="D10">
            <v>234624</v>
          </cell>
          <cell r="G10">
            <v>34776</v>
          </cell>
          <cell r="J10">
            <v>6598</v>
          </cell>
          <cell r="N10">
            <v>0</v>
          </cell>
          <cell r="Q10">
            <v>0</v>
          </cell>
          <cell r="X10">
            <v>0</v>
          </cell>
          <cell r="AA10">
            <v>0</v>
          </cell>
          <cell r="AD10">
            <v>0</v>
          </cell>
        </row>
        <row r="11">
          <cell r="D11">
            <v>164413</v>
          </cell>
          <cell r="G11">
            <v>21263</v>
          </cell>
          <cell r="J11">
            <v>3058</v>
          </cell>
          <cell r="N11">
            <v>0</v>
          </cell>
          <cell r="Q11">
            <v>0</v>
          </cell>
          <cell r="X11">
            <v>0</v>
          </cell>
          <cell r="AA11">
            <v>0</v>
          </cell>
          <cell r="AD11">
            <v>0</v>
          </cell>
        </row>
        <row r="12">
          <cell r="D12">
            <v>173152</v>
          </cell>
          <cell r="G12">
            <v>22668</v>
          </cell>
          <cell r="J12">
            <v>3904</v>
          </cell>
          <cell r="N12">
            <v>0</v>
          </cell>
          <cell r="Q12">
            <v>0</v>
          </cell>
          <cell r="X12">
            <v>0</v>
          </cell>
          <cell r="AA12">
            <v>0</v>
          </cell>
          <cell r="AD12">
            <v>0</v>
          </cell>
        </row>
        <row r="13">
          <cell r="D13">
            <v>206365</v>
          </cell>
          <cell r="G13">
            <v>30643</v>
          </cell>
          <cell r="J13">
            <v>4113</v>
          </cell>
          <cell r="N13">
            <v>0</v>
          </cell>
          <cell r="Q13">
            <v>0</v>
          </cell>
          <cell r="X13">
            <v>0</v>
          </cell>
          <cell r="AA13">
            <v>0</v>
          </cell>
          <cell r="AD13">
            <v>0</v>
          </cell>
        </row>
        <row r="14">
          <cell r="D14">
            <v>195929</v>
          </cell>
          <cell r="G14">
            <v>28860</v>
          </cell>
          <cell r="J14">
            <v>3491</v>
          </cell>
          <cell r="N14">
            <v>0</v>
          </cell>
          <cell r="Q14">
            <v>0</v>
          </cell>
          <cell r="X14">
            <v>0</v>
          </cell>
          <cell r="AA14">
            <v>0</v>
          </cell>
          <cell r="AD14">
            <v>0</v>
          </cell>
        </row>
        <row r="15">
          <cell r="D15">
            <v>180466</v>
          </cell>
          <cell r="G15">
            <v>23773</v>
          </cell>
          <cell r="J15">
            <v>3040</v>
          </cell>
          <cell r="N15">
            <v>0</v>
          </cell>
          <cell r="Q15">
            <v>0</v>
          </cell>
          <cell r="X15">
            <v>0</v>
          </cell>
          <cell r="AA15">
            <v>0</v>
          </cell>
          <cell r="AD15">
            <v>0</v>
          </cell>
        </row>
        <row r="16">
          <cell r="D16">
            <v>137202</v>
          </cell>
          <cell r="G16">
            <v>17761</v>
          </cell>
          <cell r="J16">
            <v>3063</v>
          </cell>
          <cell r="N16">
            <v>0</v>
          </cell>
          <cell r="Q16">
            <v>0</v>
          </cell>
          <cell r="X16">
            <v>0</v>
          </cell>
          <cell r="AA16">
            <v>0</v>
          </cell>
          <cell r="AD16">
            <v>0</v>
          </cell>
        </row>
        <row r="17">
          <cell r="D17">
            <v>146204</v>
          </cell>
          <cell r="G17">
            <v>19051</v>
          </cell>
          <cell r="J17">
            <v>3688</v>
          </cell>
          <cell r="N17">
            <v>0</v>
          </cell>
          <cell r="Q17">
            <v>0</v>
          </cell>
          <cell r="X17">
            <v>0</v>
          </cell>
          <cell r="AA17">
            <v>0</v>
          </cell>
          <cell r="AD17">
            <v>0</v>
          </cell>
        </row>
        <row r="18">
          <cell r="D18">
            <v>198162</v>
          </cell>
          <cell r="G18">
            <v>29368</v>
          </cell>
          <cell r="J18">
            <v>3330</v>
          </cell>
          <cell r="N18">
            <v>0</v>
          </cell>
          <cell r="Q18">
            <v>0</v>
          </cell>
          <cell r="X18">
            <v>0</v>
          </cell>
          <cell r="AA18">
            <v>0</v>
          </cell>
          <cell r="AD18">
            <v>0</v>
          </cell>
        </row>
        <row r="19">
          <cell r="D19">
            <v>247648</v>
          </cell>
          <cell r="G19">
            <v>36060</v>
          </cell>
          <cell r="J19">
            <v>4944</v>
          </cell>
          <cell r="N19">
            <v>0</v>
          </cell>
          <cell r="Q19">
            <v>0</v>
          </cell>
          <cell r="X19">
            <v>0</v>
          </cell>
          <cell r="AA19">
            <v>0</v>
          </cell>
          <cell r="AD19">
            <v>0</v>
          </cell>
        </row>
        <row r="20">
          <cell r="D20">
            <v>118095</v>
          </cell>
          <cell r="G20">
            <v>15294</v>
          </cell>
          <cell r="J20">
            <v>2635</v>
          </cell>
          <cell r="N20">
            <v>0</v>
          </cell>
          <cell r="Q20">
            <v>0</v>
          </cell>
          <cell r="X20">
            <v>0</v>
          </cell>
          <cell r="AA20">
            <v>0</v>
          </cell>
          <cell r="AD20">
            <v>0</v>
          </cell>
        </row>
        <row r="21">
          <cell r="D21">
            <v>113549</v>
          </cell>
          <cell r="G21">
            <v>14785</v>
          </cell>
          <cell r="J21">
            <v>2508</v>
          </cell>
          <cell r="N21">
            <v>0</v>
          </cell>
          <cell r="Q21">
            <v>0</v>
          </cell>
          <cell r="X21">
            <v>0</v>
          </cell>
          <cell r="AA21">
            <v>0</v>
          </cell>
          <cell r="AD21">
            <v>0</v>
          </cell>
        </row>
        <row r="22">
          <cell r="D22">
            <v>140189</v>
          </cell>
          <cell r="G22">
            <v>18182</v>
          </cell>
          <cell r="J22">
            <v>3741</v>
          </cell>
          <cell r="N22">
            <v>0</v>
          </cell>
          <cell r="Q22">
            <v>0</v>
          </cell>
          <cell r="X22">
            <v>0</v>
          </cell>
          <cell r="AA22">
            <v>0</v>
          </cell>
          <cell r="AD22">
            <v>0</v>
          </cell>
        </row>
        <row r="23">
          <cell r="D23">
            <v>167298</v>
          </cell>
          <cell r="G23">
            <v>22064</v>
          </cell>
          <cell r="J23">
            <v>3041</v>
          </cell>
          <cell r="N23">
            <v>0</v>
          </cell>
          <cell r="Q23">
            <v>0</v>
          </cell>
          <cell r="X23">
            <v>0</v>
          </cell>
          <cell r="AA23">
            <v>0</v>
          </cell>
          <cell r="AD23">
            <v>0</v>
          </cell>
        </row>
        <row r="24">
          <cell r="D24">
            <v>229871</v>
          </cell>
          <cell r="G24">
            <v>34142</v>
          </cell>
          <cell r="J24">
            <v>3715</v>
          </cell>
          <cell r="N24">
            <v>0</v>
          </cell>
          <cell r="Q24">
            <v>0</v>
          </cell>
          <cell r="X24">
            <v>0</v>
          </cell>
          <cell r="AA24">
            <v>0</v>
          </cell>
          <cell r="AD24">
            <v>0</v>
          </cell>
        </row>
        <row r="25">
          <cell r="D25">
            <v>169874</v>
          </cell>
          <cell r="G25">
            <v>22130</v>
          </cell>
          <cell r="J25">
            <v>2983</v>
          </cell>
          <cell r="N25">
            <v>0</v>
          </cell>
          <cell r="Q25">
            <v>0</v>
          </cell>
          <cell r="X25">
            <v>0</v>
          </cell>
          <cell r="AA25">
            <v>0</v>
          </cell>
          <cell r="AD25">
            <v>0</v>
          </cell>
        </row>
        <row r="26">
          <cell r="D26">
            <v>128751</v>
          </cell>
          <cell r="G26">
            <v>16642</v>
          </cell>
          <cell r="J26">
            <v>3340</v>
          </cell>
          <cell r="N26">
            <v>0</v>
          </cell>
          <cell r="Q26">
            <v>0</v>
          </cell>
          <cell r="X26">
            <v>0</v>
          </cell>
          <cell r="AA26">
            <v>0</v>
          </cell>
          <cell r="AD26">
            <v>0</v>
          </cell>
        </row>
        <row r="27">
          <cell r="D27">
            <v>103707</v>
          </cell>
          <cell r="G27">
            <v>13530</v>
          </cell>
          <cell r="J27">
            <v>3217</v>
          </cell>
          <cell r="N27">
            <v>0</v>
          </cell>
          <cell r="Q27">
            <v>0</v>
          </cell>
          <cell r="X27">
            <v>0</v>
          </cell>
          <cell r="AA27">
            <v>0</v>
          </cell>
          <cell r="AD27">
            <v>0</v>
          </cell>
        </row>
        <row r="29">
          <cell r="D29">
            <v>321864</v>
          </cell>
          <cell r="G29">
            <v>47963</v>
          </cell>
          <cell r="J29">
            <v>2125442</v>
          </cell>
          <cell r="N29">
            <v>0</v>
          </cell>
          <cell r="Q29">
            <v>0</v>
          </cell>
          <cell r="X29">
            <v>0</v>
          </cell>
          <cell r="AA29">
            <v>0</v>
          </cell>
          <cell r="AD29">
            <v>0</v>
          </cell>
        </row>
        <row r="33">
          <cell r="D33">
            <v>122455</v>
          </cell>
          <cell r="G33">
            <v>15375</v>
          </cell>
          <cell r="J33">
            <v>24696</v>
          </cell>
          <cell r="N33">
            <v>0</v>
          </cell>
          <cell r="Q33">
            <v>0</v>
          </cell>
          <cell r="X33">
            <v>0</v>
          </cell>
          <cell r="AA33">
            <v>0</v>
          </cell>
          <cell r="AD33">
            <v>0</v>
          </cell>
        </row>
        <row r="34">
          <cell r="D34">
            <v>460669</v>
          </cell>
          <cell r="G34">
            <v>59222</v>
          </cell>
          <cell r="J34">
            <v>61469</v>
          </cell>
          <cell r="N34">
            <v>0</v>
          </cell>
          <cell r="Q34">
            <v>0</v>
          </cell>
          <cell r="X34">
            <v>0</v>
          </cell>
          <cell r="AA34">
            <v>0</v>
          </cell>
          <cell r="AD34">
            <v>0</v>
          </cell>
        </row>
        <row r="35">
          <cell r="D35">
            <v>238213</v>
          </cell>
          <cell r="G35">
            <v>30795</v>
          </cell>
          <cell r="J35">
            <v>55887</v>
          </cell>
          <cell r="N35">
            <v>0</v>
          </cell>
          <cell r="Q35">
            <v>0</v>
          </cell>
          <cell r="X35">
            <v>0</v>
          </cell>
          <cell r="AA35">
            <v>0</v>
          </cell>
          <cell r="AD35">
            <v>0</v>
          </cell>
        </row>
        <row r="36">
          <cell r="D36">
            <v>509497</v>
          </cell>
          <cell r="G36">
            <v>65554</v>
          </cell>
          <cell r="J36">
            <v>181376</v>
          </cell>
          <cell r="N36">
            <v>0</v>
          </cell>
          <cell r="Q36">
            <v>0</v>
          </cell>
          <cell r="X36">
            <v>0</v>
          </cell>
          <cell r="AA36">
            <v>0</v>
          </cell>
          <cell r="AD36">
            <v>0</v>
          </cell>
        </row>
        <row r="39">
          <cell r="D39">
            <v>914448</v>
          </cell>
          <cell r="G39">
            <v>146384</v>
          </cell>
          <cell r="J39">
            <v>656832</v>
          </cell>
          <cell r="N39">
            <v>0</v>
          </cell>
          <cell r="Q39">
            <v>0</v>
          </cell>
          <cell r="X39">
            <v>0</v>
          </cell>
          <cell r="AA39">
            <v>0</v>
          </cell>
          <cell r="AD39">
            <v>0</v>
          </cell>
        </row>
        <row r="41">
          <cell r="D41">
            <v>586331</v>
          </cell>
          <cell r="G41">
            <v>82110</v>
          </cell>
          <cell r="J41">
            <v>176381</v>
          </cell>
          <cell r="N41">
            <v>0</v>
          </cell>
          <cell r="Q41">
            <v>0</v>
          </cell>
          <cell r="X41">
            <v>0</v>
          </cell>
          <cell r="AA41">
            <v>0</v>
          </cell>
          <cell r="AD41">
            <v>0</v>
          </cell>
        </row>
        <row r="43">
          <cell r="D43">
            <v>1517086</v>
          </cell>
          <cell r="G43">
            <v>228956</v>
          </cell>
          <cell r="J43">
            <v>233823</v>
          </cell>
          <cell r="N43">
            <v>0</v>
          </cell>
          <cell r="Q43">
            <v>0</v>
          </cell>
          <cell r="X43">
            <v>700</v>
          </cell>
          <cell r="AA43">
            <v>0</v>
          </cell>
          <cell r="AD43">
            <v>0</v>
          </cell>
        </row>
        <row r="45">
          <cell r="D45">
            <v>85008</v>
          </cell>
          <cell r="G45">
            <v>11032</v>
          </cell>
          <cell r="J45">
            <v>112978</v>
          </cell>
          <cell r="N45">
            <v>0</v>
          </cell>
          <cell r="Q45">
            <v>0</v>
          </cell>
          <cell r="X45">
            <v>0</v>
          </cell>
          <cell r="AA45">
            <v>0</v>
          </cell>
          <cell r="AD45">
            <v>0</v>
          </cell>
        </row>
        <row r="46">
          <cell r="D46">
            <v>2328206</v>
          </cell>
          <cell r="G46">
            <v>342245</v>
          </cell>
          <cell r="J46">
            <v>459603</v>
          </cell>
          <cell r="N46">
            <v>0</v>
          </cell>
          <cell r="Q46">
            <v>4000</v>
          </cell>
          <cell r="X46">
            <v>72163</v>
          </cell>
          <cell r="AA46">
            <v>0</v>
          </cell>
          <cell r="AD46">
            <v>0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tszám ei mód 2024-2025eltérés"/>
      <sheetName val="2025 évi nyitó létszám"/>
      <sheetName val="létszám ei mód RM I."/>
      <sheetName val="létszám ei mód RM II."/>
      <sheetName val="létszám ei mód RM III."/>
    </sheetNames>
    <sheetDataSet>
      <sheetData sheetId="0"/>
      <sheetData sheetId="1"/>
      <sheetData sheetId="2">
        <row r="9">
          <cell r="F9">
            <v>33</v>
          </cell>
          <cell r="G9">
            <v>33</v>
          </cell>
          <cell r="L9">
            <v>1</v>
          </cell>
          <cell r="M9">
            <v>1</v>
          </cell>
        </row>
        <row r="10">
          <cell r="F10">
            <v>23</v>
          </cell>
          <cell r="G10">
            <v>23</v>
          </cell>
          <cell r="L10">
            <v>1</v>
          </cell>
          <cell r="M10">
            <v>1</v>
          </cell>
        </row>
        <row r="11">
          <cell r="F11">
            <v>23</v>
          </cell>
          <cell r="G11">
            <v>23</v>
          </cell>
          <cell r="L11">
            <v>1</v>
          </cell>
          <cell r="M11">
            <v>1</v>
          </cell>
        </row>
        <row r="12">
          <cell r="F12">
            <v>28</v>
          </cell>
          <cell r="G12">
            <v>28</v>
          </cell>
          <cell r="L12">
            <v>1</v>
          </cell>
          <cell r="M12">
            <v>1</v>
          </cell>
        </row>
        <row r="13">
          <cell r="F13">
            <v>26</v>
          </cell>
          <cell r="G13">
            <v>26</v>
          </cell>
          <cell r="L13">
            <v>1</v>
          </cell>
          <cell r="M13">
            <v>1</v>
          </cell>
        </row>
        <row r="14">
          <cell r="F14">
            <v>23</v>
          </cell>
          <cell r="G14">
            <v>23</v>
          </cell>
          <cell r="L14">
            <v>1</v>
          </cell>
          <cell r="M14">
            <v>1</v>
          </cell>
        </row>
        <row r="15">
          <cell r="F15">
            <v>18</v>
          </cell>
          <cell r="G15">
            <v>18</v>
          </cell>
          <cell r="L15">
            <v>1</v>
          </cell>
          <cell r="M15">
            <v>1</v>
          </cell>
        </row>
        <row r="16">
          <cell r="F16">
            <v>18</v>
          </cell>
          <cell r="G16">
            <v>18</v>
          </cell>
          <cell r="L16">
            <v>1</v>
          </cell>
          <cell r="M16">
            <v>1</v>
          </cell>
        </row>
        <row r="17">
          <cell r="F17">
            <v>27</v>
          </cell>
          <cell r="G17">
            <v>27</v>
          </cell>
          <cell r="L17">
            <v>1</v>
          </cell>
          <cell r="M17">
            <v>1</v>
          </cell>
        </row>
        <row r="18">
          <cell r="F18">
            <v>30</v>
          </cell>
          <cell r="G18">
            <v>30</v>
          </cell>
          <cell r="L18">
            <v>1</v>
          </cell>
          <cell r="M18">
            <v>1</v>
          </cell>
        </row>
        <row r="19">
          <cell r="F19">
            <v>15</v>
          </cell>
          <cell r="G19">
            <v>15</v>
          </cell>
          <cell r="L19">
            <v>1</v>
          </cell>
          <cell r="M19">
            <v>1</v>
          </cell>
        </row>
        <row r="20">
          <cell r="F20">
            <v>13.5</v>
          </cell>
          <cell r="G20">
            <v>13</v>
          </cell>
          <cell r="L20">
            <v>1.5</v>
          </cell>
          <cell r="M20">
            <v>2</v>
          </cell>
        </row>
        <row r="21">
          <cell r="F21">
            <v>19</v>
          </cell>
          <cell r="G21">
            <v>19</v>
          </cell>
          <cell r="L21">
            <v>1</v>
          </cell>
          <cell r="M21">
            <v>1</v>
          </cell>
        </row>
        <row r="22">
          <cell r="F22">
            <v>20</v>
          </cell>
          <cell r="G22">
            <v>20</v>
          </cell>
          <cell r="L22">
            <v>1</v>
          </cell>
          <cell r="M22">
            <v>1</v>
          </cell>
        </row>
        <row r="23">
          <cell r="F23">
            <v>31</v>
          </cell>
          <cell r="G23">
            <v>31</v>
          </cell>
          <cell r="L23">
            <v>1</v>
          </cell>
          <cell r="M23">
            <v>1</v>
          </cell>
        </row>
        <row r="24">
          <cell r="F24">
            <v>23</v>
          </cell>
          <cell r="G24">
            <v>23</v>
          </cell>
          <cell r="L24">
            <v>1</v>
          </cell>
          <cell r="M24">
            <v>1</v>
          </cell>
        </row>
        <row r="25">
          <cell r="F25">
            <v>17</v>
          </cell>
          <cell r="G25">
            <v>17</v>
          </cell>
          <cell r="L25">
            <v>1</v>
          </cell>
          <cell r="M25">
            <v>1</v>
          </cell>
        </row>
        <row r="26">
          <cell r="F26">
            <v>11.5</v>
          </cell>
          <cell r="G26">
            <v>12</v>
          </cell>
          <cell r="L26">
            <v>1.5</v>
          </cell>
          <cell r="M26">
            <v>1</v>
          </cell>
        </row>
        <row r="28">
          <cell r="F28">
            <v>0</v>
          </cell>
          <cell r="G28">
            <v>0</v>
          </cell>
          <cell r="L28">
            <v>44</v>
          </cell>
          <cell r="M28">
            <v>44</v>
          </cell>
        </row>
        <row r="32">
          <cell r="F32">
            <v>18</v>
          </cell>
          <cell r="G32">
            <v>18</v>
          </cell>
          <cell r="L32">
            <v>1.75</v>
          </cell>
          <cell r="M32">
            <v>2</v>
          </cell>
        </row>
        <row r="33">
          <cell r="F33">
            <v>77</v>
          </cell>
          <cell r="G33">
            <v>77</v>
          </cell>
          <cell r="L33">
            <v>7.5</v>
          </cell>
          <cell r="M33">
            <v>7</v>
          </cell>
        </row>
        <row r="34">
          <cell r="F34">
            <v>35</v>
          </cell>
          <cell r="G34">
            <v>35</v>
          </cell>
          <cell r="L34">
            <v>11</v>
          </cell>
          <cell r="M34">
            <v>11</v>
          </cell>
        </row>
        <row r="35">
          <cell r="F35">
            <v>66.5</v>
          </cell>
          <cell r="G35">
            <v>67</v>
          </cell>
          <cell r="L35">
            <v>34.25</v>
          </cell>
          <cell r="M35">
            <v>34</v>
          </cell>
        </row>
        <row r="38">
          <cell r="F38">
            <v>161.25</v>
          </cell>
          <cell r="G38">
            <v>161</v>
          </cell>
          <cell r="L38">
            <v>21.5</v>
          </cell>
          <cell r="M38">
            <v>22</v>
          </cell>
        </row>
        <row r="40">
          <cell r="F40">
            <v>45</v>
          </cell>
          <cell r="G40">
            <v>45</v>
          </cell>
          <cell r="L40">
            <v>27</v>
          </cell>
          <cell r="M40">
            <v>27</v>
          </cell>
        </row>
        <row r="42">
          <cell r="F42">
            <v>155.01</v>
          </cell>
          <cell r="G42">
            <v>155</v>
          </cell>
          <cell r="L42">
            <v>46.74499999999999</v>
          </cell>
          <cell r="M42">
            <v>47</v>
          </cell>
        </row>
        <row r="44">
          <cell r="F44">
            <v>1</v>
          </cell>
          <cell r="G44">
            <v>1</v>
          </cell>
          <cell r="L44">
            <v>13.5</v>
          </cell>
          <cell r="M44">
            <v>13</v>
          </cell>
        </row>
        <row r="45">
          <cell r="F45">
            <v>301.5</v>
          </cell>
          <cell r="G45">
            <v>302</v>
          </cell>
          <cell r="L45">
            <v>0</v>
          </cell>
          <cell r="M45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"/>
  <sheetViews>
    <sheetView zoomScale="118" zoomScaleNormal="118" workbookViewId="0">
      <selection activeCell="J21" sqref="J21"/>
    </sheetView>
  </sheetViews>
  <sheetFormatPr defaultRowHeight="15.75" x14ac:dyDescent="0.25"/>
  <cols>
    <col min="1" max="1" width="10.83203125" style="382" customWidth="1"/>
    <col min="2" max="2" width="102.83203125" style="382" customWidth="1"/>
    <col min="3" max="3" width="31.33203125" style="382" customWidth="1"/>
    <col min="4" max="6" width="27" style="382" customWidth="1"/>
    <col min="7" max="7" width="27.5" style="391" customWidth="1"/>
    <col min="8" max="8" width="14" style="391" customWidth="1"/>
    <col min="9" max="9" width="86.1640625" style="382" customWidth="1"/>
    <col min="10" max="13" width="27" style="382" customWidth="1"/>
    <col min="14" max="14" width="27" style="391" customWidth="1"/>
    <col min="15" max="16384" width="9.33203125" style="382"/>
  </cols>
  <sheetData>
    <row r="1" spans="1:14" ht="29.25" customHeight="1" x14ac:dyDescent="0.3">
      <c r="B1" s="899" t="s">
        <v>214</v>
      </c>
      <c r="C1" s="899"/>
      <c r="D1" s="899"/>
      <c r="E1" s="899"/>
      <c r="F1" s="899"/>
      <c r="G1" s="899"/>
      <c r="H1" s="422"/>
      <c r="I1" s="899" t="s">
        <v>214</v>
      </c>
      <c r="J1" s="899"/>
      <c r="K1" s="899"/>
      <c r="L1" s="899"/>
      <c r="M1" s="899"/>
      <c r="N1" s="899"/>
    </row>
    <row r="2" spans="1:14" ht="36" customHeight="1" x14ac:dyDescent="0.3">
      <c r="B2" s="899" t="s">
        <v>570</v>
      </c>
      <c r="C2" s="899"/>
      <c r="D2" s="899"/>
      <c r="E2" s="899"/>
      <c r="F2" s="899"/>
      <c r="G2" s="899"/>
      <c r="H2" s="422"/>
      <c r="I2" s="899" t="s">
        <v>571</v>
      </c>
      <c r="J2" s="899"/>
      <c r="K2" s="899"/>
      <c r="L2" s="899"/>
      <c r="M2" s="899"/>
      <c r="N2" s="899"/>
    </row>
    <row r="3" spans="1:14" ht="16.5" thickBot="1" x14ac:dyDescent="0.3">
      <c r="A3" s="423"/>
      <c r="N3" s="424" t="s">
        <v>206</v>
      </c>
    </row>
    <row r="4" spans="1:14" ht="33.75" customHeight="1" x14ac:dyDescent="0.25">
      <c r="A4" s="425"/>
      <c r="B4" s="384" t="s">
        <v>205</v>
      </c>
      <c r="C4" s="425" t="s">
        <v>305</v>
      </c>
      <c r="D4" s="426" t="s">
        <v>306</v>
      </c>
      <c r="E4" s="425" t="s">
        <v>306</v>
      </c>
      <c r="F4" s="426" t="s">
        <v>306</v>
      </c>
      <c r="G4" s="426" t="s">
        <v>221</v>
      </c>
      <c r="H4" s="425"/>
      <c r="I4" s="384" t="s">
        <v>229</v>
      </c>
      <c r="J4" s="425" t="s">
        <v>305</v>
      </c>
      <c r="K4" s="426" t="s">
        <v>306</v>
      </c>
      <c r="L4" s="425" t="s">
        <v>306</v>
      </c>
      <c r="M4" s="426" t="s">
        <v>306</v>
      </c>
      <c r="N4" s="426" t="s">
        <v>221</v>
      </c>
    </row>
    <row r="5" spans="1:14" ht="20.100000000000001" customHeight="1" x14ac:dyDescent="0.25">
      <c r="A5" s="427"/>
      <c r="B5" s="386"/>
      <c r="C5" s="427" t="s">
        <v>307</v>
      </c>
      <c r="D5" s="428"/>
      <c r="E5" s="427"/>
      <c r="F5" s="428" t="s">
        <v>221</v>
      </c>
      <c r="G5" s="428" t="s">
        <v>222</v>
      </c>
      <c r="H5" s="427"/>
      <c r="I5" s="386"/>
      <c r="J5" s="427" t="s">
        <v>308</v>
      </c>
      <c r="K5" s="428"/>
      <c r="L5" s="427"/>
      <c r="M5" s="428" t="s">
        <v>221</v>
      </c>
      <c r="N5" s="428" t="s">
        <v>230</v>
      </c>
    </row>
    <row r="6" spans="1:14" ht="88.5" customHeight="1" thickBot="1" x14ac:dyDescent="0.3">
      <c r="A6" s="429"/>
      <c r="B6" s="388"/>
      <c r="C6" s="430"/>
      <c r="D6" s="431"/>
      <c r="E6" s="389" t="s">
        <v>309</v>
      </c>
      <c r="F6" s="431"/>
      <c r="G6" s="432"/>
      <c r="H6" s="429"/>
      <c r="I6" s="388"/>
      <c r="J6" s="430" t="s">
        <v>189</v>
      </c>
      <c r="K6" s="431" t="s">
        <v>310</v>
      </c>
      <c r="L6" s="389" t="s">
        <v>309</v>
      </c>
      <c r="M6" s="431"/>
      <c r="N6" s="432"/>
    </row>
    <row r="7" spans="1:14" ht="24" customHeight="1" x14ac:dyDescent="0.25">
      <c r="A7" s="427"/>
      <c r="B7" s="433" t="s">
        <v>311</v>
      </c>
      <c r="C7" s="385"/>
      <c r="D7" s="434"/>
      <c r="E7" s="434"/>
      <c r="F7" s="434"/>
      <c r="G7" s="426"/>
      <c r="H7" s="427"/>
      <c r="I7" s="384" t="s">
        <v>312</v>
      </c>
      <c r="J7" s="385"/>
      <c r="K7" s="434"/>
      <c r="L7" s="434"/>
      <c r="M7" s="434"/>
      <c r="N7" s="426"/>
    </row>
    <row r="8" spans="1:14" ht="24" customHeight="1" x14ac:dyDescent="0.3">
      <c r="A8" s="435" t="s">
        <v>313</v>
      </c>
      <c r="B8" s="436" t="s">
        <v>247</v>
      </c>
      <c r="C8" s="437">
        <v>478053</v>
      </c>
      <c r="D8" s="437">
        <v>9809521</v>
      </c>
      <c r="E8" s="437"/>
      <c r="F8" s="437">
        <f>SUM(D8:E8)</f>
        <v>9809521</v>
      </c>
      <c r="G8" s="438">
        <f>SUM(C8+F8)</f>
        <v>10287574</v>
      </c>
      <c r="H8" s="439" t="s">
        <v>314</v>
      </c>
      <c r="I8" s="436" t="s">
        <v>248</v>
      </c>
      <c r="J8" s="440">
        <v>10854735</v>
      </c>
      <c r="K8" s="440">
        <v>495641</v>
      </c>
      <c r="L8" s="437">
        <v>1600</v>
      </c>
      <c r="M8" s="437">
        <f>SUM(K8:L8)</f>
        <v>497241</v>
      </c>
      <c r="N8" s="438">
        <f>SUM(J8+M8)</f>
        <v>11351976</v>
      </c>
    </row>
    <row r="9" spans="1:14" ht="44.85" customHeight="1" x14ac:dyDescent="0.3">
      <c r="A9" s="441" t="s">
        <v>315</v>
      </c>
      <c r="B9" s="442" t="s">
        <v>184</v>
      </c>
      <c r="C9" s="437">
        <v>1850</v>
      </c>
      <c r="D9" s="437">
        <v>14310285</v>
      </c>
      <c r="E9" s="437"/>
      <c r="F9" s="437">
        <f>SUM(D9:E9)</f>
        <v>14310285</v>
      </c>
      <c r="G9" s="438">
        <f>SUM(C9+F9)</f>
        <v>14312135</v>
      </c>
      <c r="H9" s="441" t="s">
        <v>316</v>
      </c>
      <c r="I9" s="443" t="s">
        <v>249</v>
      </c>
      <c r="J9" s="444">
        <v>1566391</v>
      </c>
      <c r="K9" s="444">
        <v>63081</v>
      </c>
      <c r="L9" s="437">
        <v>400</v>
      </c>
      <c r="M9" s="437">
        <f>SUM(K9:L9)</f>
        <v>63481</v>
      </c>
      <c r="N9" s="438">
        <f>SUM(J9+M9)</f>
        <v>1629872</v>
      </c>
    </row>
    <row r="10" spans="1:14" ht="24" customHeight="1" x14ac:dyDescent="0.3">
      <c r="A10" s="435" t="s">
        <v>317</v>
      </c>
      <c r="B10" s="436" t="s">
        <v>318</v>
      </c>
      <c r="C10" s="437">
        <v>1549077</v>
      </c>
      <c r="D10" s="437">
        <v>3295996</v>
      </c>
      <c r="E10" s="437"/>
      <c r="F10" s="437">
        <f>SUM(D10:E10)</f>
        <v>3295996</v>
      </c>
      <c r="G10" s="438">
        <f>SUM(C10+F10)</f>
        <v>4845073</v>
      </c>
      <c r="H10" s="441" t="s">
        <v>319</v>
      </c>
      <c r="I10" s="442" t="s">
        <v>250</v>
      </c>
      <c r="J10" s="444">
        <v>4850175</v>
      </c>
      <c r="K10" s="444">
        <v>4808877</v>
      </c>
      <c r="L10" s="437">
        <v>17953</v>
      </c>
      <c r="M10" s="437">
        <f>SUM(K10:L10)</f>
        <v>4826830</v>
      </c>
      <c r="N10" s="438">
        <f>SUM(J10+M10)</f>
        <v>9677005</v>
      </c>
    </row>
    <row r="11" spans="1:14" ht="24" customHeight="1" x14ac:dyDescent="0.3">
      <c r="A11" s="441" t="s">
        <v>320</v>
      </c>
      <c r="B11" s="442" t="s">
        <v>108</v>
      </c>
      <c r="C11" s="437">
        <v>381</v>
      </c>
      <c r="D11" s="437">
        <v>113297</v>
      </c>
      <c r="E11" s="437"/>
      <c r="F11" s="437">
        <f>SUM(D11:E11)</f>
        <v>113297</v>
      </c>
      <c r="G11" s="438">
        <f>SUM(C11+F11)</f>
        <v>113678</v>
      </c>
      <c r="H11" s="445" t="s">
        <v>321</v>
      </c>
      <c r="I11" s="446" t="s">
        <v>251</v>
      </c>
      <c r="J11" s="444"/>
      <c r="K11" s="444">
        <v>238105</v>
      </c>
      <c r="L11" s="437"/>
      <c r="M11" s="437">
        <f>SUM(K11:L11)</f>
        <v>238105</v>
      </c>
      <c r="N11" s="438">
        <f>SUM(J11+M11)</f>
        <v>238105</v>
      </c>
    </row>
    <row r="12" spans="1:14" ht="24" customHeight="1" thickBot="1" x14ac:dyDescent="0.35">
      <c r="A12" s="435"/>
      <c r="B12" s="436"/>
      <c r="C12" s="447"/>
      <c r="D12" s="437"/>
      <c r="E12" s="440"/>
      <c r="F12" s="437">
        <f>SUM(D12:E12)</f>
        <v>0</v>
      </c>
      <c r="G12" s="438">
        <f>SUM(C12+F12)</f>
        <v>0</v>
      </c>
      <c r="H12" s="441" t="s">
        <v>322</v>
      </c>
      <c r="I12" s="442" t="s">
        <v>323</v>
      </c>
      <c r="J12" s="437">
        <v>4000</v>
      </c>
      <c r="K12" s="437">
        <v>8752633</v>
      </c>
      <c r="L12" s="437"/>
      <c r="M12" s="437">
        <f>SUM(K12:L12)</f>
        <v>8752633</v>
      </c>
      <c r="N12" s="438">
        <f>SUM(J12+M12)</f>
        <v>8756633</v>
      </c>
    </row>
    <row r="13" spans="1:14" ht="24" customHeight="1" thickBot="1" x14ac:dyDescent="0.35">
      <c r="A13" s="448"/>
      <c r="B13" s="397" t="s">
        <v>224</v>
      </c>
      <c r="C13" s="449">
        <f t="shared" ref="C13:D13" si="0">SUM(C8:C12)</f>
        <v>2029361</v>
      </c>
      <c r="D13" s="449">
        <f t="shared" si="0"/>
        <v>27529099</v>
      </c>
      <c r="E13" s="449">
        <f>SUM(E8:E12)</f>
        <v>0</v>
      </c>
      <c r="F13" s="449">
        <f>SUM(F8:F12)</f>
        <v>27529099</v>
      </c>
      <c r="G13" s="449">
        <f>SUM(G8:G12)</f>
        <v>29558460</v>
      </c>
      <c r="H13" s="448"/>
      <c r="I13" s="397" t="s">
        <v>231</v>
      </c>
      <c r="J13" s="449">
        <f>SUM(J8:J12)</f>
        <v>17275301</v>
      </c>
      <c r="K13" s="449">
        <f>SUM(K8:K12)</f>
        <v>14358337</v>
      </c>
      <c r="L13" s="449">
        <f>SUM(L8:L12)</f>
        <v>19953</v>
      </c>
      <c r="M13" s="449">
        <f>SUM(M8:M12)</f>
        <v>14378290</v>
      </c>
      <c r="N13" s="449">
        <f>SUM(N8:N12)</f>
        <v>31653591</v>
      </c>
    </row>
    <row r="14" spans="1:14" s="391" customFormat="1" ht="24" customHeight="1" x14ac:dyDescent="0.3">
      <c r="A14" s="435" t="s">
        <v>324</v>
      </c>
      <c r="B14" s="442" t="s">
        <v>67</v>
      </c>
      <c r="C14" s="437"/>
      <c r="D14" s="437"/>
      <c r="E14" s="437"/>
      <c r="F14" s="437">
        <f>SUM(D14:E14)</f>
        <v>0</v>
      </c>
      <c r="G14" s="438">
        <f>SUM(C14+F14)</f>
        <v>0</v>
      </c>
      <c r="H14" s="450" t="s">
        <v>325</v>
      </c>
      <c r="I14" s="451" t="s">
        <v>140</v>
      </c>
      <c r="J14" s="452">
        <v>227417</v>
      </c>
      <c r="K14" s="452">
        <v>687364</v>
      </c>
      <c r="L14" s="452">
        <v>-19953</v>
      </c>
      <c r="M14" s="437">
        <f>SUM(K14:L14)</f>
        <v>667411</v>
      </c>
      <c r="N14" s="438">
        <f>SUM(J14+M14)</f>
        <v>894828</v>
      </c>
    </row>
    <row r="15" spans="1:14" ht="24" customHeight="1" x14ac:dyDescent="0.3">
      <c r="A15" s="435" t="s">
        <v>326</v>
      </c>
      <c r="B15" s="442" t="s">
        <v>66</v>
      </c>
      <c r="C15" s="437">
        <v>35</v>
      </c>
      <c r="D15" s="437">
        <v>1000000</v>
      </c>
      <c r="E15" s="437"/>
      <c r="F15" s="437">
        <f>SUM(D15:E15)</f>
        <v>1000000</v>
      </c>
      <c r="G15" s="438">
        <f>SUM(C15+F15)</f>
        <v>1000035</v>
      </c>
      <c r="H15" s="435" t="s">
        <v>327</v>
      </c>
      <c r="I15" s="442" t="s">
        <v>252</v>
      </c>
      <c r="J15" s="444">
        <v>54765</v>
      </c>
      <c r="K15" s="444">
        <v>768668</v>
      </c>
      <c r="L15" s="444"/>
      <c r="M15" s="437">
        <f>SUM(K15:L15)</f>
        <v>768668</v>
      </c>
      <c r="N15" s="438">
        <f>SUM(J15+M15)</f>
        <v>823433</v>
      </c>
    </row>
    <row r="16" spans="1:14" ht="24" customHeight="1" thickBot="1" x14ac:dyDescent="0.35">
      <c r="A16" s="435" t="s">
        <v>328</v>
      </c>
      <c r="B16" s="442" t="s">
        <v>253</v>
      </c>
      <c r="C16" s="437"/>
      <c r="D16" s="437">
        <v>138688</v>
      </c>
      <c r="E16" s="440"/>
      <c r="F16" s="437">
        <f>SUM(D16:E16)</f>
        <v>138688</v>
      </c>
      <c r="G16" s="438">
        <f>SUM(C16+F16)</f>
        <v>138688</v>
      </c>
      <c r="H16" s="445" t="s">
        <v>329</v>
      </c>
      <c r="I16" s="453" t="s">
        <v>254</v>
      </c>
      <c r="J16" s="440"/>
      <c r="K16" s="440">
        <v>139955</v>
      </c>
      <c r="L16" s="437"/>
      <c r="M16" s="437">
        <f>SUM(K16:L16)</f>
        <v>139955</v>
      </c>
      <c r="N16" s="438">
        <f>SUM(J16+M16)</f>
        <v>139955</v>
      </c>
    </row>
    <row r="17" spans="1:14" ht="24" customHeight="1" thickBot="1" x14ac:dyDescent="0.35">
      <c r="A17" s="448"/>
      <c r="B17" s="397" t="s">
        <v>225</v>
      </c>
      <c r="C17" s="449">
        <f>SUM(C14:C16)</f>
        <v>35</v>
      </c>
      <c r="D17" s="449">
        <f>SUM(D14:D16)</f>
        <v>1138688</v>
      </c>
      <c r="E17" s="449">
        <f>SUM(E14:E16)</f>
        <v>0</v>
      </c>
      <c r="F17" s="449">
        <f>SUM(F14:F16)</f>
        <v>1138688</v>
      </c>
      <c r="G17" s="449">
        <f>SUM(G14:G16)</f>
        <v>1138723</v>
      </c>
      <c r="H17" s="448"/>
      <c r="I17" s="392" t="s">
        <v>232</v>
      </c>
      <c r="J17" s="449">
        <f>SUM(J14:J16)</f>
        <v>282182</v>
      </c>
      <c r="K17" s="449">
        <f>SUM(K14:K16)</f>
        <v>1595987</v>
      </c>
      <c r="L17" s="449">
        <f>SUM(L14:L16)</f>
        <v>-19953</v>
      </c>
      <c r="M17" s="449">
        <f>SUM(M14:M16)</f>
        <v>1576034</v>
      </c>
      <c r="N17" s="449">
        <f>SUM(N14:N16)</f>
        <v>1858216</v>
      </c>
    </row>
    <row r="18" spans="1:14" ht="24" customHeight="1" thickBot="1" x14ac:dyDescent="0.35">
      <c r="A18" s="448"/>
      <c r="B18" s="392" t="s">
        <v>226</v>
      </c>
      <c r="C18" s="449">
        <f>+C13+C17</f>
        <v>2029396</v>
      </c>
      <c r="D18" s="449">
        <f>D13+D17</f>
        <v>28667787</v>
      </c>
      <c r="E18" s="449">
        <f>+E13+E17</f>
        <v>0</v>
      </c>
      <c r="F18" s="449">
        <f>F13+F17</f>
        <v>28667787</v>
      </c>
      <c r="G18" s="449">
        <f>SUM(G13+G17)</f>
        <v>30697183</v>
      </c>
      <c r="H18" s="448"/>
      <c r="I18" s="397" t="s">
        <v>233</v>
      </c>
      <c r="J18" s="449">
        <f>SUM(J17,J13)</f>
        <v>17557483</v>
      </c>
      <c r="K18" s="449">
        <f>SUM(K17,K13)</f>
        <v>15954324</v>
      </c>
      <c r="L18" s="449">
        <f>+L13+L17</f>
        <v>0</v>
      </c>
      <c r="M18" s="449">
        <f>SUM(M13+M17)</f>
        <v>15954324</v>
      </c>
      <c r="N18" s="449">
        <f>SUM(N17,N13)</f>
        <v>33511807</v>
      </c>
    </row>
    <row r="19" spans="1:14" ht="24" customHeight="1" thickBot="1" x14ac:dyDescent="0.35">
      <c r="A19" s="439" t="s">
        <v>330</v>
      </c>
      <c r="B19" s="454" t="s">
        <v>227</v>
      </c>
      <c r="C19" s="455">
        <v>690176</v>
      </c>
      <c r="D19" s="456">
        <v>2526202</v>
      </c>
      <c r="E19" s="456"/>
      <c r="F19" s="437">
        <f>SUM(D19:E19)</f>
        <v>2526202</v>
      </c>
      <c r="G19" s="438">
        <f>SUM(C19+F19)</f>
        <v>3216378</v>
      </c>
      <c r="H19" s="457" t="s">
        <v>331</v>
      </c>
      <c r="I19" s="402" t="s">
        <v>234</v>
      </c>
      <c r="J19" s="444"/>
      <c r="K19" s="444">
        <v>401754</v>
      </c>
      <c r="L19" s="458"/>
      <c r="M19" s="437">
        <f>SUM(K19:L19)</f>
        <v>401754</v>
      </c>
      <c r="N19" s="438">
        <f>SUM(J19+M19)</f>
        <v>401754</v>
      </c>
    </row>
    <row r="20" spans="1:14" ht="49.5" customHeight="1" thickBot="1" x14ac:dyDescent="0.35">
      <c r="A20" s="448"/>
      <c r="B20" s="397" t="s">
        <v>228</v>
      </c>
      <c r="C20" s="449">
        <f>SUM(C18:C19)</f>
        <v>2719572</v>
      </c>
      <c r="D20" s="449">
        <f>SUM(D18:D19)</f>
        <v>31193989</v>
      </c>
      <c r="E20" s="449">
        <f>+E18+E19</f>
        <v>0</v>
      </c>
      <c r="F20" s="449">
        <f>SUM(F18:F19)</f>
        <v>31193989</v>
      </c>
      <c r="G20" s="449">
        <f>SUM(G18:G19)</f>
        <v>33913561</v>
      </c>
      <c r="H20" s="448"/>
      <c r="I20" s="397" t="s">
        <v>235</v>
      </c>
      <c r="J20" s="449">
        <f>SUM(J18:J19)</f>
        <v>17557483</v>
      </c>
      <c r="K20" s="449">
        <f>SUM(K18:K19)</f>
        <v>16356078</v>
      </c>
      <c r="L20" s="449">
        <f>SUM(L18:L19)</f>
        <v>0</v>
      </c>
      <c r="M20" s="449">
        <f>SUM(M18:M19)</f>
        <v>16356078</v>
      </c>
      <c r="N20" s="449">
        <f>SUM(N18:N19)</f>
        <v>33913561</v>
      </c>
    </row>
  </sheetData>
  <mergeCells count="4">
    <mergeCell ref="B1:G1"/>
    <mergeCell ref="I1:N1"/>
    <mergeCell ref="B2:G2"/>
    <mergeCell ref="I2:N2"/>
  </mergeCells>
  <printOptions horizontalCentered="1" verticalCentered="1"/>
  <pageMargins left="0.19685039370078741" right="0.19685039370078741" top="0.15748031496062992" bottom="0" header="0.55118110236220474" footer="0.15748031496062992"/>
  <pageSetup paperSize="9" scale="78" orientation="landscape" r:id="rId1"/>
  <headerFooter alignWithMargins="0">
    <oddHeader xml:space="preserve">&amp;R&amp;"Times New Roman CE,Félkövér"&amp;16 &amp;12 1. melléklet a 15/2025. (V.30.) önkormányzati &amp;"-,Félkövér"rendelethez
"1. melléklet a 4/2025. (II.28) önkormányzati rendelethez"&amp;16
&amp;"Times New Roman CE,Félkövér" </oddHeader>
  </headerFooter>
  <colBreaks count="1" manualBreakCount="1">
    <brk id="7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1"/>
  <dimension ref="A1:G43"/>
  <sheetViews>
    <sheetView zoomScaleNormal="100" workbookViewId="0">
      <selection activeCell="A44" sqref="A44:XFD59"/>
    </sheetView>
  </sheetViews>
  <sheetFormatPr defaultRowHeight="15.75" x14ac:dyDescent="0.25"/>
  <cols>
    <col min="1" max="1" width="90.1640625" style="203" customWidth="1"/>
    <col min="2" max="2" width="29.6640625" style="203" bestFit="1" customWidth="1"/>
    <col min="3" max="3" width="39.33203125" style="203" customWidth="1"/>
    <col min="4" max="4" width="38.33203125" style="203" bestFit="1" customWidth="1"/>
    <col min="5" max="5" width="9.33203125" style="203"/>
    <col min="6" max="6" width="24.33203125" style="203" customWidth="1"/>
    <col min="7" max="16384" width="9.33203125" style="203"/>
  </cols>
  <sheetData>
    <row r="1" spans="1:7" x14ac:dyDescent="0.25">
      <c r="A1" s="202"/>
      <c r="B1" s="202"/>
      <c r="C1" s="202"/>
      <c r="D1" s="202"/>
    </row>
    <row r="2" spans="1:7" ht="21" x14ac:dyDescent="0.35">
      <c r="A2" s="956" t="s">
        <v>52</v>
      </c>
      <c r="B2" s="956"/>
      <c r="C2" s="956"/>
      <c r="D2" s="956"/>
    </row>
    <row r="3" spans="1:7" x14ac:dyDescent="0.25">
      <c r="A3" s="202"/>
      <c r="B3" s="202"/>
      <c r="C3" s="202"/>
      <c r="D3" s="202"/>
    </row>
    <row r="4" spans="1:7" ht="19.5" thickBot="1" x14ac:dyDescent="0.35">
      <c r="A4" s="100" t="s">
        <v>36</v>
      </c>
      <c r="B4" s="100"/>
      <c r="C4" s="100"/>
      <c r="D4" s="204" t="s">
        <v>206</v>
      </c>
    </row>
    <row r="5" spans="1:7" x14ac:dyDescent="0.25">
      <c r="A5" s="205" t="s">
        <v>158</v>
      </c>
      <c r="B5" s="19" t="s">
        <v>564</v>
      </c>
      <c r="C5" s="19" t="s">
        <v>560</v>
      </c>
      <c r="D5" s="19" t="s">
        <v>573</v>
      </c>
    </row>
    <row r="6" spans="1:7" ht="20.25" customHeight="1" thickBot="1" x14ac:dyDescent="0.3">
      <c r="A6" s="206"/>
      <c r="B6" s="23" t="s">
        <v>352</v>
      </c>
      <c r="C6" s="23" t="s">
        <v>561</v>
      </c>
      <c r="D6" s="23" t="s">
        <v>352</v>
      </c>
    </row>
    <row r="7" spans="1:7" s="77" customFormat="1" ht="21.75" thickBot="1" x14ac:dyDescent="0.4">
      <c r="A7" s="587" t="s">
        <v>473</v>
      </c>
      <c r="B7" s="548">
        <v>1717664</v>
      </c>
      <c r="C7" s="548">
        <f>31469+90846+478-2545+1075</f>
        <v>121323</v>
      </c>
      <c r="D7" s="548">
        <f>SUM(B7:C7)</f>
        <v>1838987</v>
      </c>
      <c r="F7" s="78"/>
      <c r="G7" s="78"/>
    </row>
    <row r="8" spans="1:7" ht="21" x14ac:dyDescent="0.35">
      <c r="A8" s="209" t="s">
        <v>521</v>
      </c>
      <c r="B8" s="211"/>
      <c r="C8" s="210"/>
      <c r="D8" s="211"/>
      <c r="F8" s="78"/>
      <c r="G8" s="78"/>
    </row>
    <row r="9" spans="1:7" ht="21" x14ac:dyDescent="0.35">
      <c r="A9" s="552" t="s">
        <v>471</v>
      </c>
      <c r="B9" s="212">
        <v>204000</v>
      </c>
      <c r="C9" s="212">
        <f>18833+6647+2085</f>
        <v>27565</v>
      </c>
      <c r="D9" s="212">
        <f>SUM(B9:C9)</f>
        <v>231565</v>
      </c>
      <c r="E9" s="77"/>
      <c r="F9" s="78"/>
      <c r="G9" s="78"/>
    </row>
    <row r="10" spans="1:7" ht="21" x14ac:dyDescent="0.35">
      <c r="A10" s="208" t="s">
        <v>440</v>
      </c>
      <c r="B10" s="212">
        <v>167272</v>
      </c>
      <c r="C10" s="212"/>
      <c r="D10" s="212">
        <f>SUM(B10:C10)</f>
        <v>167272</v>
      </c>
      <c r="F10" s="78"/>
      <c r="G10" s="78"/>
    </row>
    <row r="11" spans="1:7" ht="33" x14ac:dyDescent="0.35">
      <c r="A11" s="598" t="s">
        <v>432</v>
      </c>
      <c r="B11" s="183">
        <v>8000</v>
      </c>
      <c r="C11" s="183"/>
      <c r="D11" s="183">
        <f>SUM(B11:C11)</f>
        <v>8000</v>
      </c>
      <c r="F11" s="78"/>
      <c r="G11" s="78"/>
    </row>
    <row r="12" spans="1:7" ht="21" x14ac:dyDescent="0.35">
      <c r="A12" s="213" t="s">
        <v>357</v>
      </c>
      <c r="B12" s="183">
        <v>2000</v>
      </c>
      <c r="C12" s="183">
        <v>1525</v>
      </c>
      <c r="D12" s="183">
        <f t="shared" ref="D12:D21" si="0">SUM(B12:C12)</f>
        <v>3525</v>
      </c>
      <c r="E12" s="77"/>
      <c r="F12" s="78"/>
      <c r="G12" s="78"/>
    </row>
    <row r="13" spans="1:7" ht="21" x14ac:dyDescent="0.35">
      <c r="A13" s="161" t="s">
        <v>261</v>
      </c>
      <c r="B13" s="183">
        <v>2055</v>
      </c>
      <c r="C13" s="183">
        <v>199</v>
      </c>
      <c r="D13" s="183">
        <f t="shared" si="0"/>
        <v>2254</v>
      </c>
      <c r="E13" s="77"/>
      <c r="F13" s="78"/>
      <c r="G13" s="78"/>
    </row>
    <row r="14" spans="1:7" ht="21" x14ac:dyDescent="0.35">
      <c r="A14" s="161" t="s">
        <v>20</v>
      </c>
      <c r="B14" s="183">
        <v>2500</v>
      </c>
      <c r="C14" s="183">
        <v>4</v>
      </c>
      <c r="D14" s="183">
        <f t="shared" si="0"/>
        <v>2504</v>
      </c>
      <c r="E14" s="77"/>
      <c r="F14" s="78"/>
      <c r="G14" s="78"/>
    </row>
    <row r="15" spans="1:7" ht="21" x14ac:dyDescent="0.35">
      <c r="A15" s="161" t="s">
        <v>18</v>
      </c>
      <c r="B15" s="183">
        <v>1000</v>
      </c>
      <c r="C15" s="183"/>
      <c r="D15" s="183">
        <f t="shared" si="0"/>
        <v>1000</v>
      </c>
      <c r="F15" s="78"/>
      <c r="G15" s="78"/>
    </row>
    <row r="16" spans="1:7" ht="21" x14ac:dyDescent="0.35">
      <c r="A16" s="161" t="s">
        <v>94</v>
      </c>
      <c r="B16" s="183">
        <v>11000</v>
      </c>
      <c r="C16" s="183"/>
      <c r="D16" s="183">
        <f t="shared" si="0"/>
        <v>11000</v>
      </c>
      <c r="F16" s="78"/>
      <c r="G16" s="78"/>
    </row>
    <row r="17" spans="1:7" ht="39" customHeight="1" x14ac:dyDescent="0.35">
      <c r="A17" s="161" t="s">
        <v>361</v>
      </c>
      <c r="B17" s="183">
        <v>8000</v>
      </c>
      <c r="C17" s="183"/>
      <c r="D17" s="183">
        <f t="shared" si="0"/>
        <v>8000</v>
      </c>
      <c r="F17" s="78"/>
      <c r="G17" s="78"/>
    </row>
    <row r="18" spans="1:7" ht="33" x14ac:dyDescent="0.35">
      <c r="A18" s="214" t="s">
        <v>360</v>
      </c>
      <c r="B18" s="183">
        <v>3300</v>
      </c>
      <c r="C18" s="183"/>
      <c r="D18" s="183">
        <f t="shared" si="0"/>
        <v>3300</v>
      </c>
      <c r="F18" s="78"/>
      <c r="G18" s="78"/>
    </row>
    <row r="19" spans="1:7" ht="21" x14ac:dyDescent="0.35">
      <c r="A19" s="215" t="s">
        <v>0</v>
      </c>
      <c r="B19" s="183">
        <v>50000</v>
      </c>
      <c r="C19" s="183">
        <v>29628</v>
      </c>
      <c r="D19" s="183">
        <f t="shared" si="0"/>
        <v>79628</v>
      </c>
      <c r="E19" s="77"/>
      <c r="F19" s="78"/>
      <c r="G19" s="78"/>
    </row>
    <row r="20" spans="1:7" ht="21" x14ac:dyDescent="0.35">
      <c r="A20" s="215" t="s">
        <v>359</v>
      </c>
      <c r="B20" s="183">
        <v>3000</v>
      </c>
      <c r="C20" s="183">
        <f>49+13788</f>
        <v>13837</v>
      </c>
      <c r="D20" s="183">
        <f t="shared" si="0"/>
        <v>16837</v>
      </c>
      <c r="E20" s="77"/>
      <c r="F20" s="78"/>
      <c r="G20" s="78"/>
    </row>
    <row r="21" spans="1:7" ht="21" x14ac:dyDescent="0.35">
      <c r="A21" s="215" t="s">
        <v>420</v>
      </c>
      <c r="B21" s="183"/>
      <c r="C21" s="183">
        <v>200</v>
      </c>
      <c r="D21" s="183">
        <f t="shared" si="0"/>
        <v>200</v>
      </c>
      <c r="F21" s="78"/>
      <c r="G21" s="78"/>
    </row>
    <row r="22" spans="1:7" ht="21" x14ac:dyDescent="0.35">
      <c r="A22" s="208" t="s">
        <v>257</v>
      </c>
      <c r="B22" s="212">
        <v>5000</v>
      </c>
      <c r="C22" s="212">
        <v>-1075</v>
      </c>
      <c r="D22" s="212">
        <f>SUM(B22:C22)</f>
        <v>3925</v>
      </c>
      <c r="F22" s="78"/>
      <c r="G22" s="78"/>
    </row>
    <row r="23" spans="1:7" ht="21" x14ac:dyDescent="0.35">
      <c r="A23" s="215" t="s">
        <v>263</v>
      </c>
      <c r="B23" s="183">
        <v>0</v>
      </c>
      <c r="C23" s="183">
        <v>660</v>
      </c>
      <c r="D23" s="183">
        <f>SUM(B23:C23)</f>
        <v>660</v>
      </c>
      <c r="E23" s="77"/>
      <c r="F23" s="78"/>
      <c r="G23" s="78"/>
    </row>
    <row r="24" spans="1:7" ht="48.75" x14ac:dyDescent="0.35">
      <c r="A24" s="215" t="s">
        <v>463</v>
      </c>
      <c r="B24" s="183">
        <v>7000</v>
      </c>
      <c r="C24" s="183"/>
      <c r="D24" s="183">
        <f t="shared" ref="D24:D29" si="1">SUM(B24:C24)</f>
        <v>7000</v>
      </c>
      <c r="F24" s="78"/>
      <c r="G24" s="78"/>
    </row>
    <row r="25" spans="1:7" ht="21" x14ac:dyDescent="0.35">
      <c r="A25" s="215" t="s">
        <v>302</v>
      </c>
      <c r="B25" s="183">
        <v>8263</v>
      </c>
      <c r="C25" s="183">
        <v>949</v>
      </c>
      <c r="D25" s="183">
        <f t="shared" si="1"/>
        <v>9212</v>
      </c>
      <c r="E25" s="77"/>
      <c r="F25" s="78"/>
      <c r="G25" s="78"/>
    </row>
    <row r="26" spans="1:7" ht="21" x14ac:dyDescent="0.35">
      <c r="A26" s="215" t="s">
        <v>455</v>
      </c>
      <c r="B26" s="183">
        <v>0</v>
      </c>
      <c r="C26" s="183">
        <v>10000</v>
      </c>
      <c r="D26" s="183">
        <f t="shared" si="1"/>
        <v>10000</v>
      </c>
      <c r="E26" s="77"/>
      <c r="F26" s="78"/>
      <c r="G26" s="78"/>
    </row>
    <row r="27" spans="1:7" ht="21" x14ac:dyDescent="0.35">
      <c r="A27" s="215" t="s">
        <v>351</v>
      </c>
      <c r="B27" s="183">
        <v>3000</v>
      </c>
      <c r="C27" s="183"/>
      <c r="D27" s="183">
        <f t="shared" si="1"/>
        <v>3000</v>
      </c>
      <c r="F27" s="78"/>
      <c r="G27" s="78"/>
    </row>
    <row r="28" spans="1:7" ht="48.75" x14ac:dyDescent="0.35">
      <c r="A28" s="215" t="s">
        <v>415</v>
      </c>
      <c r="B28" s="183"/>
      <c r="C28" s="183">
        <v>300</v>
      </c>
      <c r="D28" s="183">
        <f t="shared" si="1"/>
        <v>300</v>
      </c>
      <c r="E28" s="77"/>
      <c r="F28" s="78"/>
      <c r="G28" s="78"/>
    </row>
    <row r="29" spans="1:7" ht="48.75" x14ac:dyDescent="0.35">
      <c r="A29" s="215" t="s">
        <v>433</v>
      </c>
      <c r="B29" s="216"/>
      <c r="C29" s="216">
        <v>1942</v>
      </c>
      <c r="D29" s="183">
        <f t="shared" si="1"/>
        <v>1942</v>
      </c>
      <c r="F29" s="78"/>
      <c r="G29" s="78"/>
    </row>
    <row r="30" spans="1:7" ht="21.75" thickBot="1" x14ac:dyDescent="0.4">
      <c r="A30" s="217" t="s">
        <v>520</v>
      </c>
      <c r="B30" s="218">
        <f>SUM(B9:B29)</f>
        <v>485390</v>
      </c>
      <c r="C30" s="218">
        <f>SUM(C9:C29)</f>
        <v>85734</v>
      </c>
      <c r="D30" s="218">
        <f>SUM(D9:D29)</f>
        <v>571124</v>
      </c>
      <c r="F30" s="78"/>
      <c r="G30" s="78"/>
    </row>
    <row r="31" spans="1:7" s="221" customFormat="1" ht="21.75" thickBot="1" x14ac:dyDescent="0.4">
      <c r="A31" s="219" t="s">
        <v>281</v>
      </c>
      <c r="B31" s="220">
        <f>B7+B30</f>
        <v>2203054</v>
      </c>
      <c r="C31" s="220">
        <f>C7+C30</f>
        <v>207057</v>
      </c>
      <c r="D31" s="220">
        <f>D7+D30</f>
        <v>2410111</v>
      </c>
      <c r="F31" s="78"/>
      <c r="G31" s="78"/>
    </row>
    <row r="32" spans="1:7" x14ac:dyDescent="0.25">
      <c r="F32" s="78"/>
      <c r="G32" s="78"/>
    </row>
    <row r="33" spans="1:7" ht="19.5" thickBot="1" x14ac:dyDescent="0.35">
      <c r="A33" s="100" t="s">
        <v>80</v>
      </c>
      <c r="B33" s="100"/>
      <c r="C33" s="100"/>
      <c r="D33" s="100"/>
      <c r="F33" s="78"/>
      <c r="G33" s="78"/>
    </row>
    <row r="34" spans="1:7" x14ac:dyDescent="0.25">
      <c r="A34" s="222" t="s">
        <v>158</v>
      </c>
      <c r="B34" s="19" t="s">
        <v>564</v>
      </c>
      <c r="C34" s="19" t="s">
        <v>560</v>
      </c>
      <c r="D34" s="19" t="s">
        <v>573</v>
      </c>
      <c r="F34" s="78"/>
      <c r="G34" s="78"/>
    </row>
    <row r="35" spans="1:7" ht="16.5" thickBot="1" x14ac:dyDescent="0.3">
      <c r="A35" s="223"/>
      <c r="B35" s="23" t="s">
        <v>352</v>
      </c>
      <c r="C35" s="23" t="s">
        <v>561</v>
      </c>
      <c r="D35" s="23" t="s">
        <v>352</v>
      </c>
      <c r="F35" s="78"/>
      <c r="G35" s="78"/>
    </row>
    <row r="36" spans="1:7" ht="21.75" thickBot="1" x14ac:dyDescent="0.4">
      <c r="A36" s="621" t="s">
        <v>473</v>
      </c>
      <c r="B36" s="620">
        <v>0</v>
      </c>
      <c r="C36" s="620">
        <f>25272+2545</f>
        <v>27817</v>
      </c>
      <c r="D36" s="620">
        <f>SUM(B36:C36)</f>
        <v>27817</v>
      </c>
      <c r="E36" s="77"/>
      <c r="F36" s="78"/>
      <c r="G36" s="78"/>
    </row>
    <row r="37" spans="1:7" s="77" customFormat="1" ht="21.75" thickBot="1" x14ac:dyDescent="0.4">
      <c r="A37" s="197" t="s">
        <v>581</v>
      </c>
      <c r="B37" s="58">
        <f>SUM(B36)</f>
        <v>0</v>
      </c>
      <c r="C37" s="58">
        <f t="shared" ref="C37:D37" si="2">SUM(C36)</f>
        <v>27817</v>
      </c>
      <c r="D37" s="58">
        <f t="shared" si="2"/>
        <v>27817</v>
      </c>
      <c r="F37" s="169"/>
      <c r="G37" s="78"/>
    </row>
    <row r="38" spans="1:7" ht="21.75" thickBot="1" x14ac:dyDescent="0.4">
      <c r="A38" s="225"/>
      <c r="B38" s="226"/>
      <c r="C38" s="226"/>
      <c r="D38" s="226"/>
      <c r="F38" s="78"/>
      <c r="G38" s="78"/>
    </row>
    <row r="39" spans="1:7" ht="21.75" thickBot="1" x14ac:dyDescent="0.4">
      <c r="A39" s="227" t="s">
        <v>282</v>
      </c>
      <c r="B39" s="220">
        <f>B31+B37</f>
        <v>2203054</v>
      </c>
      <c r="C39" s="228">
        <f t="shared" ref="C39:D39" si="3">C31+C37</f>
        <v>234874</v>
      </c>
      <c r="D39" s="228">
        <f t="shared" si="3"/>
        <v>2437928</v>
      </c>
      <c r="F39" s="78"/>
      <c r="G39" s="78"/>
    </row>
    <row r="40" spans="1:7" x14ac:dyDescent="0.25">
      <c r="G40" s="78"/>
    </row>
    <row r="41" spans="1:7" x14ac:dyDescent="0.25">
      <c r="A41" s="221" t="s">
        <v>72</v>
      </c>
      <c r="B41" s="221"/>
      <c r="C41" s="221"/>
      <c r="D41" s="229"/>
      <c r="G41" s="78"/>
    </row>
    <row r="42" spans="1:7" x14ac:dyDescent="0.25">
      <c r="A42" s="221" t="s">
        <v>73</v>
      </c>
      <c r="B42" s="221"/>
      <c r="C42" s="221"/>
      <c r="D42" s="221"/>
      <c r="G42" s="78"/>
    </row>
    <row r="43" spans="1:7" x14ac:dyDescent="0.25">
      <c r="G43" s="78"/>
    </row>
  </sheetData>
  <customSheetViews>
    <customSheetView guid="{6D4B996F-8915-4E78-98C2-E7EAE9C4580C}" scale="75" printArea="1" showRuler="0" topLeftCell="A10">
      <selection activeCell="B28" sqref="B28"/>
      <pageMargins left="0.39370078740157483" right="0.39370078740157483" top="0.59055118110236227" bottom="0.59055118110236227" header="0.11811023622047245" footer="0.19685039370078741"/>
      <printOptions horizontalCentered="1" verticalCentered="1"/>
      <pageSetup paperSize="9" scale="67" orientation="portrait" horizontalDpi="300" verticalDpi="300" r:id="rId1"/>
      <headerFooter alignWithMargins="0">
        <oddHeader>&amp;L&amp;F   &amp;A&amp;RM.III/4. sz. melléklet</oddHeader>
      </headerFooter>
    </customSheetView>
    <customSheetView guid="{186732C5-520C-4E06-B066-B4F3F0A3E322}" scale="75" showRuler="0" topLeftCell="A13">
      <selection activeCell="B33" sqref="B33"/>
      <pageMargins left="0.39370078740157483" right="0.39370078740157483" top="0.59055118110236227" bottom="0.59055118110236227" header="0.11811023622047245" footer="0.19685039370078741"/>
      <printOptions horizontalCentered="1" verticalCentered="1"/>
      <pageSetup paperSize="9" scale="67" orientation="portrait" horizontalDpi="300" verticalDpi="300" r:id="rId2"/>
      <headerFooter alignWithMargins="0">
        <oddHeader>&amp;L&amp;F   &amp;A&amp;RM.III/4.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45" orientation="portrait" r:id="rId3"/>
  <headerFooter alignWithMargins="0">
    <oddHeader xml:space="preserve">&amp;R&amp;"-,Félkövér"&amp;12 
10. melléklet a 15/2025. (V.30.) önkormányzati rendelethe&amp;"Times New Roman CE,Félkövér"z
"10. melléklet a 4/2025. (II.28) önkormányzati rendelethez"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2"/>
  <dimension ref="A1:G33"/>
  <sheetViews>
    <sheetView zoomScale="118" zoomScaleNormal="118" workbookViewId="0">
      <selection activeCell="A34" sqref="A34:XFD43"/>
    </sheetView>
  </sheetViews>
  <sheetFormatPr defaultRowHeight="15.75" x14ac:dyDescent="0.25"/>
  <cols>
    <col min="1" max="1" width="91.1640625" style="77" customWidth="1"/>
    <col min="2" max="2" width="29.5" style="77" bestFit="1" customWidth="1"/>
    <col min="3" max="3" width="39.1640625" style="77" customWidth="1"/>
    <col min="4" max="4" width="38.1640625" style="77" bestFit="1" customWidth="1"/>
    <col min="5" max="5" width="9.33203125" style="77"/>
    <col min="6" max="6" width="22.5" style="77" customWidth="1"/>
    <col min="7" max="16384" width="9.33203125" style="77"/>
  </cols>
  <sheetData>
    <row r="1" spans="1:7" x14ac:dyDescent="0.25">
      <c r="A1" s="75"/>
      <c r="B1" s="75"/>
      <c r="C1" s="75"/>
      <c r="D1" s="75"/>
    </row>
    <row r="2" spans="1:7" ht="21" x14ac:dyDescent="0.35">
      <c r="A2" s="955" t="s">
        <v>53</v>
      </c>
      <c r="B2" s="955"/>
      <c r="C2" s="955"/>
      <c r="D2" s="955"/>
    </row>
    <row r="3" spans="1:7" x14ac:dyDescent="0.25">
      <c r="A3" s="75"/>
      <c r="B3" s="75"/>
      <c r="C3" s="75"/>
      <c r="D3" s="75"/>
    </row>
    <row r="4" spans="1:7" ht="19.5" thickBot="1" x14ac:dyDescent="0.35">
      <c r="A4" s="6" t="s">
        <v>36</v>
      </c>
      <c r="B4" s="6"/>
      <c r="C4" s="6"/>
      <c r="D4" s="154" t="s">
        <v>206</v>
      </c>
    </row>
    <row r="5" spans="1:7" x14ac:dyDescent="0.25">
      <c r="A5" s="155" t="s">
        <v>158</v>
      </c>
      <c r="B5" s="19" t="s">
        <v>562</v>
      </c>
      <c r="C5" s="19" t="s">
        <v>560</v>
      </c>
      <c r="D5" s="19" t="s">
        <v>573</v>
      </c>
    </row>
    <row r="6" spans="1:7" ht="16.5" thickBot="1" x14ac:dyDescent="0.3">
      <c r="A6" s="156"/>
      <c r="B6" s="88" t="s">
        <v>352</v>
      </c>
      <c r="C6" s="88" t="s">
        <v>561</v>
      </c>
      <c r="D6" s="88" t="s">
        <v>352</v>
      </c>
    </row>
    <row r="7" spans="1:7" s="81" customFormat="1" ht="21.75" thickBot="1" x14ac:dyDescent="0.4">
      <c r="A7" s="592" t="s">
        <v>518</v>
      </c>
      <c r="B7" s="548">
        <v>844822</v>
      </c>
      <c r="C7" s="548">
        <f>183497-1016+9900</f>
        <v>192381</v>
      </c>
      <c r="D7" s="548">
        <f>SUM(B7:C7)</f>
        <v>1037203</v>
      </c>
      <c r="E7" s="77"/>
      <c r="F7" s="169"/>
      <c r="G7" s="169"/>
    </row>
    <row r="8" spans="1:7" ht="21" x14ac:dyDescent="0.35">
      <c r="A8" s="593" t="s">
        <v>522</v>
      </c>
      <c r="B8" s="591"/>
      <c r="C8" s="591"/>
      <c r="D8" s="591"/>
      <c r="F8" s="169"/>
      <c r="G8" s="169"/>
    </row>
    <row r="9" spans="1:7" ht="21" x14ac:dyDescent="0.35">
      <c r="A9" s="172" t="s">
        <v>185</v>
      </c>
      <c r="B9" s="158">
        <v>12000</v>
      </c>
      <c r="C9" s="158">
        <v>-12000</v>
      </c>
      <c r="D9" s="158">
        <f>SUM(B9:C9)</f>
        <v>0</v>
      </c>
      <c r="F9" s="169"/>
      <c r="G9" s="169"/>
    </row>
    <row r="10" spans="1:7" ht="21" x14ac:dyDescent="0.35">
      <c r="A10" s="162" t="s">
        <v>137</v>
      </c>
      <c r="B10" s="32">
        <v>500</v>
      </c>
      <c r="C10" s="35">
        <v>-500</v>
      </c>
      <c r="D10" s="32">
        <f>SUM(B10:C10)</f>
        <v>0</v>
      </c>
      <c r="F10" s="169"/>
      <c r="G10" s="169"/>
    </row>
    <row r="11" spans="1:7" ht="21" x14ac:dyDescent="0.35">
      <c r="A11" s="161" t="s">
        <v>456</v>
      </c>
      <c r="B11" s="32">
        <v>0</v>
      </c>
      <c r="C11" s="35">
        <v>589</v>
      </c>
      <c r="D11" s="32">
        <f t="shared" ref="D11:D17" si="0">SUM(B11:C11)</f>
        <v>589</v>
      </c>
      <c r="F11" s="169"/>
      <c r="G11" s="169"/>
    </row>
    <row r="12" spans="1:7" ht="21" x14ac:dyDescent="0.35">
      <c r="A12" s="162" t="s">
        <v>258</v>
      </c>
      <c r="B12" s="32">
        <v>2485</v>
      </c>
      <c r="C12" s="35"/>
      <c r="D12" s="32">
        <f t="shared" si="0"/>
        <v>2485</v>
      </c>
      <c r="F12" s="169"/>
      <c r="G12" s="169"/>
    </row>
    <row r="13" spans="1:7" ht="21" x14ac:dyDescent="0.35">
      <c r="A13" s="162" t="s">
        <v>141</v>
      </c>
      <c r="B13" s="32">
        <v>2500</v>
      </c>
      <c r="C13" s="35"/>
      <c r="D13" s="32">
        <f t="shared" si="0"/>
        <v>2500</v>
      </c>
      <c r="F13" s="169"/>
      <c r="G13" s="169"/>
    </row>
    <row r="14" spans="1:7" ht="33" x14ac:dyDescent="0.35">
      <c r="A14" s="163" t="s">
        <v>426</v>
      </c>
      <c r="B14" s="32">
        <v>2500</v>
      </c>
      <c r="C14" s="35"/>
      <c r="D14" s="32">
        <f t="shared" si="0"/>
        <v>2500</v>
      </c>
      <c r="F14" s="169"/>
      <c r="G14" s="169"/>
    </row>
    <row r="15" spans="1:7" ht="21" x14ac:dyDescent="0.35">
      <c r="A15" s="162" t="s">
        <v>76</v>
      </c>
      <c r="B15" s="32">
        <v>1500</v>
      </c>
      <c r="C15" s="35">
        <v>86</v>
      </c>
      <c r="D15" s="32">
        <f t="shared" si="0"/>
        <v>1586</v>
      </c>
      <c r="F15" s="169"/>
      <c r="G15" s="169"/>
    </row>
    <row r="16" spans="1:7" ht="21" x14ac:dyDescent="0.35">
      <c r="A16" s="163" t="s">
        <v>366</v>
      </c>
      <c r="B16" s="32">
        <v>44070</v>
      </c>
      <c r="C16" s="35"/>
      <c r="D16" s="32">
        <f t="shared" si="0"/>
        <v>44070</v>
      </c>
      <c r="F16" s="169"/>
      <c r="G16" s="169"/>
    </row>
    <row r="17" spans="1:7" ht="21" x14ac:dyDescent="0.35">
      <c r="A17" s="232" t="s">
        <v>370</v>
      </c>
      <c r="B17" s="32">
        <v>1500</v>
      </c>
      <c r="C17" s="35">
        <v>604</v>
      </c>
      <c r="D17" s="32">
        <f t="shared" si="0"/>
        <v>2104</v>
      </c>
      <c r="F17" s="169"/>
      <c r="G17" s="169"/>
    </row>
    <row r="18" spans="1:7" ht="21.75" thickBot="1" x14ac:dyDescent="0.4">
      <c r="A18" s="233" t="s">
        <v>523</v>
      </c>
      <c r="B18" s="57">
        <f>SUM(B9:B17)</f>
        <v>67055</v>
      </c>
      <c r="C18" s="57">
        <f>SUM(C9:C17)</f>
        <v>-11221</v>
      </c>
      <c r="D18" s="57">
        <f>SUM(D9:D17)</f>
        <v>55834</v>
      </c>
      <c r="F18" s="169"/>
      <c r="G18" s="169"/>
    </row>
    <row r="19" spans="1:7" s="81" customFormat="1" ht="21.75" thickBot="1" x14ac:dyDescent="0.4">
      <c r="A19" s="234" t="s">
        <v>284</v>
      </c>
      <c r="B19" s="124">
        <f>B7+B18</f>
        <v>911877</v>
      </c>
      <c r="C19" s="124">
        <f>C7+C18</f>
        <v>181160</v>
      </c>
      <c r="D19" s="124">
        <f>D7+D18</f>
        <v>1093037</v>
      </c>
      <c r="F19" s="169"/>
      <c r="G19" s="169"/>
    </row>
    <row r="20" spans="1:7" x14ac:dyDescent="0.25">
      <c r="F20" s="169"/>
      <c r="G20" s="169"/>
    </row>
    <row r="21" spans="1:7" x14ac:dyDescent="0.25">
      <c r="F21" s="169"/>
      <c r="G21" s="169"/>
    </row>
    <row r="22" spans="1:7" ht="19.5" thickBot="1" x14ac:dyDescent="0.35">
      <c r="A22" s="6" t="s">
        <v>80</v>
      </c>
      <c r="B22" s="6"/>
      <c r="C22" s="6"/>
      <c r="D22" s="6"/>
      <c r="F22" s="169"/>
      <c r="G22" s="169"/>
    </row>
    <row r="23" spans="1:7" x14ac:dyDescent="0.25">
      <c r="A23" s="155" t="s">
        <v>158</v>
      </c>
      <c r="B23" s="19" t="s">
        <v>562</v>
      </c>
      <c r="C23" s="19" t="s">
        <v>560</v>
      </c>
      <c r="D23" s="19" t="s">
        <v>573</v>
      </c>
      <c r="F23" s="169"/>
      <c r="G23" s="169"/>
    </row>
    <row r="24" spans="1:7" ht="16.5" thickBot="1" x14ac:dyDescent="0.3">
      <c r="A24" s="156"/>
      <c r="B24" s="88" t="s">
        <v>352</v>
      </c>
      <c r="C24" s="88" t="s">
        <v>561</v>
      </c>
      <c r="D24" s="88" t="s">
        <v>352</v>
      </c>
      <c r="F24" s="169"/>
      <c r="G24" s="169"/>
    </row>
    <row r="25" spans="1:7" ht="33.75" customHeight="1" thickBot="1" x14ac:dyDescent="0.4">
      <c r="A25" s="622" t="s">
        <v>582</v>
      </c>
      <c r="B25" s="235">
        <v>0</v>
      </c>
      <c r="C25" s="235">
        <f>2916+1016+2600</f>
        <v>6532</v>
      </c>
      <c r="D25" s="604">
        <f>SUM(B25:C25)</f>
        <v>6532</v>
      </c>
      <c r="F25" s="169"/>
      <c r="G25" s="169"/>
    </row>
    <row r="26" spans="1:7" ht="21.75" thickBot="1" x14ac:dyDescent="0.4">
      <c r="A26" s="197" t="s">
        <v>285</v>
      </c>
      <c r="B26" s="58">
        <f>SUM(B25)</f>
        <v>0</v>
      </c>
      <c r="C26" s="58">
        <f t="shared" ref="C26:D26" si="1">SUM(C25)</f>
        <v>6532</v>
      </c>
      <c r="D26" s="58">
        <f t="shared" si="1"/>
        <v>6532</v>
      </c>
      <c r="F26" s="169"/>
      <c r="G26" s="169"/>
    </row>
    <row r="27" spans="1:7" ht="21.75" thickBot="1" x14ac:dyDescent="0.4">
      <c r="A27" s="199"/>
      <c r="B27" s="175"/>
      <c r="C27" s="175"/>
      <c r="D27" s="175"/>
      <c r="F27" s="169"/>
      <c r="G27" s="169"/>
    </row>
    <row r="28" spans="1:7" ht="21.75" thickBot="1" x14ac:dyDescent="0.4">
      <c r="A28" s="146" t="s">
        <v>286</v>
      </c>
      <c r="B28" s="58">
        <f>B19+B26</f>
        <v>911877</v>
      </c>
      <c r="C28" s="58">
        <f t="shared" ref="C28:D28" si="2">C19+C26</f>
        <v>187692</v>
      </c>
      <c r="D28" s="58">
        <f t="shared" si="2"/>
        <v>1099569</v>
      </c>
      <c r="F28" s="169"/>
      <c r="G28" s="169"/>
    </row>
    <row r="29" spans="1:7" x14ac:dyDescent="0.25">
      <c r="G29" s="169"/>
    </row>
    <row r="30" spans="1:7" x14ac:dyDescent="0.25">
      <c r="A30" s="81" t="s">
        <v>72</v>
      </c>
      <c r="B30" s="81"/>
      <c r="C30" s="81"/>
      <c r="D30" s="176"/>
      <c r="G30" s="169"/>
    </row>
    <row r="31" spans="1:7" x14ac:dyDescent="0.25">
      <c r="A31" s="81" t="s">
        <v>73</v>
      </c>
      <c r="B31" s="81"/>
      <c r="C31" s="81"/>
      <c r="D31" s="81"/>
      <c r="G31" s="169"/>
    </row>
    <row r="32" spans="1:7" x14ac:dyDescent="0.25">
      <c r="G32" s="169"/>
    </row>
    <row r="33" spans="7:7" x14ac:dyDescent="0.25">
      <c r="G33" s="169"/>
    </row>
  </sheetData>
  <customSheetViews>
    <customSheetView guid="{6D4B996F-8915-4E78-98C2-E7EAE9C4580C}" scale="75" showRuler="0">
      <selection activeCell="G8" sqref="G8"/>
      <pageMargins left="0.59055118110236227" right="0.59055118110236227" top="0.59055118110236227" bottom="0.39370078740157483" header="0.31496062992125984" footer="0.31496062992125984"/>
      <printOptions horizontalCentered="1" verticalCentered="1"/>
      <pageSetup paperSize="9" scale="67" orientation="portrait" horizontalDpi="300" verticalDpi="300" r:id="rId1"/>
      <headerFooter alignWithMargins="0">
        <oddHeader>&amp;L&amp;F  &amp;A&amp;RM.III/5.sz. melléklet</oddHeader>
      </headerFooter>
    </customSheetView>
    <customSheetView guid="{186732C5-520C-4E06-B066-B4F3F0A3E322}" scale="75" showRuler="0">
      <selection activeCell="G8" sqref="G8"/>
      <pageMargins left="0.59055118110236227" right="0.59055118110236227" top="0.59055118110236227" bottom="0.39370078740157483" header="0.31496062992125984" footer="0.31496062992125984"/>
      <printOptions horizontalCentered="1" verticalCentered="1"/>
      <pageSetup paperSize="9" scale="67" orientation="portrait" horizontalDpi="300" verticalDpi="300" r:id="rId2"/>
      <headerFooter alignWithMargins="0">
        <oddHeader>&amp;L&amp;F  &amp;A&amp;RM.III/5.sz.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63" orientation="portrait" r:id="rId3"/>
  <headerFooter alignWithMargins="0">
    <oddHeader xml:space="preserve">&amp;R&amp;"Times New Roman CE,Félkövér"&amp;12 
&amp;"-,Félkövér"11. melléklet a 15/2025. (V.30.) önkormányzati rendelethez
"11. melléklet a 4/2025. (II.28) önkormányzati rendelethez"&amp;"Times New Roman CE,Félkövér"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3"/>
  <dimension ref="A1:H23"/>
  <sheetViews>
    <sheetView zoomScale="95" zoomScaleNormal="95" workbookViewId="0">
      <selection activeCell="A24" sqref="A24:XFD50"/>
    </sheetView>
  </sheetViews>
  <sheetFormatPr defaultRowHeight="15.75" x14ac:dyDescent="0.25"/>
  <cols>
    <col min="1" max="1" width="99.6640625" style="77" customWidth="1"/>
    <col min="2" max="2" width="36.6640625" style="77" customWidth="1"/>
    <col min="3" max="3" width="35.5" style="77" customWidth="1"/>
    <col min="4" max="4" width="38.1640625" style="77" bestFit="1" customWidth="1"/>
    <col min="5" max="5" width="9.33203125" style="77"/>
    <col min="6" max="6" width="16.33203125" style="77" customWidth="1"/>
    <col min="7" max="16384" width="9.33203125" style="77"/>
  </cols>
  <sheetData>
    <row r="1" spans="1:8" x14ac:dyDescent="0.25">
      <c r="A1" s="75"/>
      <c r="B1" s="75"/>
      <c r="C1" s="75"/>
      <c r="D1" s="75"/>
    </row>
    <row r="2" spans="1:8" ht="21" x14ac:dyDescent="0.35">
      <c r="A2" s="955" t="s">
        <v>289</v>
      </c>
      <c r="B2" s="955"/>
      <c r="C2" s="955"/>
      <c r="D2" s="955"/>
    </row>
    <row r="4" spans="1:8" ht="19.5" thickBot="1" x14ac:dyDescent="0.35">
      <c r="A4" s="6" t="s">
        <v>36</v>
      </c>
      <c r="B4" s="6"/>
      <c r="C4" s="6"/>
      <c r="D4" s="16" t="s">
        <v>206</v>
      </c>
    </row>
    <row r="5" spans="1:8" x14ac:dyDescent="0.25">
      <c r="A5" s="155" t="s">
        <v>158</v>
      </c>
      <c r="B5" s="19" t="s">
        <v>564</v>
      </c>
      <c r="C5" s="19" t="s">
        <v>560</v>
      </c>
      <c r="D5" s="19" t="s">
        <v>573</v>
      </c>
    </row>
    <row r="6" spans="1:8" ht="16.5" thickBot="1" x14ac:dyDescent="0.3">
      <c r="A6" s="178"/>
      <c r="B6" s="88" t="s">
        <v>352</v>
      </c>
      <c r="C6" s="88" t="s">
        <v>561</v>
      </c>
      <c r="D6" s="88" t="s">
        <v>352</v>
      </c>
    </row>
    <row r="7" spans="1:8" ht="21.75" thickBot="1" x14ac:dyDescent="0.4">
      <c r="A7" s="589" t="s">
        <v>519</v>
      </c>
      <c r="B7" s="548">
        <v>1979865</v>
      </c>
      <c r="C7" s="548">
        <f>14339+13350</f>
        <v>27689</v>
      </c>
      <c r="D7" s="548">
        <f>SUM(B7:C7)</f>
        <v>2007554</v>
      </c>
      <c r="F7" s="78"/>
      <c r="H7" s="78"/>
    </row>
    <row r="8" spans="1:8" ht="21" x14ac:dyDescent="0.35">
      <c r="A8" s="594" t="s">
        <v>524</v>
      </c>
      <c r="B8" s="144"/>
      <c r="C8" s="200"/>
      <c r="D8" s="144"/>
      <c r="F8" s="78"/>
      <c r="H8" s="78"/>
    </row>
    <row r="9" spans="1:8" ht="21" x14ac:dyDescent="0.35">
      <c r="A9" s="588" t="s">
        <v>260</v>
      </c>
      <c r="B9" s="32">
        <v>241</v>
      </c>
      <c r="C9" s="641"/>
      <c r="D9" s="32">
        <f>SUM(B9:C9)</f>
        <v>241</v>
      </c>
      <c r="F9" s="78"/>
      <c r="H9" s="78"/>
    </row>
    <row r="10" spans="1:8" ht="21.75" thickBot="1" x14ac:dyDescent="0.4">
      <c r="A10" s="162" t="s">
        <v>559</v>
      </c>
      <c r="B10" s="35">
        <v>10000</v>
      </c>
      <c r="C10" s="642">
        <v>-10000</v>
      </c>
      <c r="D10" s="32">
        <f t="shared" ref="D10" si="0">SUM(B10:C10)</f>
        <v>0</v>
      </c>
      <c r="F10" s="78"/>
      <c r="H10" s="78"/>
    </row>
    <row r="11" spans="1:8" ht="21.75" thickBot="1" x14ac:dyDescent="0.4">
      <c r="A11" s="197" t="s">
        <v>525</v>
      </c>
      <c r="B11" s="58">
        <f>SUM(B9:B10)</f>
        <v>10241</v>
      </c>
      <c r="C11" s="58">
        <f>SUM(C9:C10)</f>
        <v>-10000</v>
      </c>
      <c r="D11" s="58">
        <f>SUM(D9:D10)</f>
        <v>241</v>
      </c>
      <c r="F11" s="78"/>
      <c r="H11" s="78"/>
    </row>
    <row r="12" spans="1:8" ht="21.75" thickBot="1" x14ac:dyDescent="0.4">
      <c r="A12" s="238" t="s">
        <v>287</v>
      </c>
      <c r="B12" s="124">
        <f>B7+B11</f>
        <v>1990106</v>
      </c>
      <c r="C12" s="124">
        <f>C7+C11</f>
        <v>17689</v>
      </c>
      <c r="D12" s="124">
        <f>D7+D11</f>
        <v>2007795</v>
      </c>
      <c r="F12" s="78"/>
      <c r="H12" s="78"/>
    </row>
    <row r="13" spans="1:8" x14ac:dyDescent="0.25">
      <c r="A13" s="84"/>
      <c r="B13" s="84"/>
      <c r="C13" s="84"/>
      <c r="D13" s="84"/>
      <c r="F13" s="78"/>
      <c r="H13" s="78"/>
    </row>
    <row r="14" spans="1:8" ht="19.5" thickBot="1" x14ac:dyDescent="0.35">
      <c r="A14" s="6" t="s">
        <v>80</v>
      </c>
      <c r="B14" s="6"/>
      <c r="C14" s="6"/>
      <c r="D14" s="6"/>
      <c r="F14" s="78"/>
      <c r="H14" s="78"/>
    </row>
    <row r="15" spans="1:8" x14ac:dyDescent="0.25">
      <c r="A15" s="170" t="s">
        <v>158</v>
      </c>
      <c r="B15" s="19" t="s">
        <v>564</v>
      </c>
      <c r="C15" s="19" t="s">
        <v>560</v>
      </c>
      <c r="D15" s="19" t="s">
        <v>573</v>
      </c>
      <c r="F15" s="78"/>
      <c r="H15" s="78"/>
    </row>
    <row r="16" spans="1:8" ht="16.5" thickBot="1" x14ac:dyDescent="0.3">
      <c r="A16" s="171"/>
      <c r="B16" s="88" t="s">
        <v>352</v>
      </c>
      <c r="C16" s="88" t="s">
        <v>561</v>
      </c>
      <c r="D16" s="88" t="s">
        <v>352</v>
      </c>
      <c r="F16" s="78"/>
      <c r="H16" s="78"/>
    </row>
    <row r="17" spans="1:8" ht="21.75" thickBot="1" x14ac:dyDescent="0.4">
      <c r="A17" s="621" t="s">
        <v>474</v>
      </c>
      <c r="B17" s="623">
        <v>700</v>
      </c>
      <c r="C17" s="623">
        <f>12385+169+10000</f>
        <v>22554</v>
      </c>
      <c r="D17" s="623">
        <f>SUM(B17:C17)</f>
        <v>23254</v>
      </c>
      <c r="F17" s="78"/>
      <c r="H17" s="78"/>
    </row>
    <row r="18" spans="1:8" ht="21.75" thickBot="1" x14ac:dyDescent="0.4">
      <c r="A18" s="197" t="s">
        <v>583</v>
      </c>
      <c r="B18" s="58">
        <f>SUM(B17)</f>
        <v>700</v>
      </c>
      <c r="C18" s="58">
        <f t="shared" ref="C18:D18" si="1">SUM(C17)</f>
        <v>22554</v>
      </c>
      <c r="D18" s="58">
        <f t="shared" si="1"/>
        <v>23254</v>
      </c>
      <c r="F18" s="169"/>
      <c r="H18" s="78"/>
    </row>
    <row r="19" spans="1:8" ht="21.75" thickBot="1" x14ac:dyDescent="0.4">
      <c r="A19" s="199"/>
      <c r="B19" s="175"/>
      <c r="C19" s="69"/>
      <c r="D19" s="69"/>
      <c r="F19" s="78"/>
      <c r="H19" s="78"/>
    </row>
    <row r="20" spans="1:8" ht="21.75" thickBot="1" x14ac:dyDescent="0.4">
      <c r="A20" s="146" t="s">
        <v>288</v>
      </c>
      <c r="B20" s="239">
        <f>B12+B18</f>
        <v>1990806</v>
      </c>
      <c r="C20" s="239">
        <f t="shared" ref="C20:D20" si="2">C12+C18</f>
        <v>40243</v>
      </c>
      <c r="D20" s="239">
        <f t="shared" si="2"/>
        <v>2031049</v>
      </c>
      <c r="F20" s="78"/>
      <c r="H20" s="78"/>
    </row>
    <row r="21" spans="1:8" x14ac:dyDescent="0.25">
      <c r="H21" s="78"/>
    </row>
    <row r="22" spans="1:8" x14ac:dyDescent="0.25">
      <c r="A22" s="81" t="s">
        <v>72</v>
      </c>
      <c r="B22" s="81"/>
      <c r="C22" s="81"/>
      <c r="D22" s="240"/>
      <c r="H22" s="78"/>
    </row>
    <row r="23" spans="1:8" x14ac:dyDescent="0.25">
      <c r="A23" s="81" t="s">
        <v>73</v>
      </c>
      <c r="B23" s="81"/>
      <c r="C23" s="81"/>
      <c r="D23" s="81"/>
      <c r="H23" s="78"/>
    </row>
  </sheetData>
  <customSheetViews>
    <customSheetView guid="{6D4B996F-8915-4E78-98C2-E7EAE9C4580C}" scale="75" showRuler="0" topLeftCell="A13">
      <selection activeCell="B31" sqref="B31"/>
      <pageMargins left="0.59055118110236227" right="0.59055118110236227" top="0.98425196850393704" bottom="0.59055118110236227" header="0.51181102362204722" footer="0.31496062992125984"/>
      <printOptions horizontalCentered="1" verticalCentered="1"/>
      <pageSetup paperSize="9" scale="65" orientation="portrait" horizontalDpi="300" verticalDpi="300" r:id="rId1"/>
      <headerFooter alignWithMargins="0">
        <oddHeader>&amp;L&amp;F  &amp;A&amp;RM.III/6. sz. melléklet</oddHeader>
      </headerFooter>
    </customSheetView>
    <customSheetView guid="{186732C5-520C-4E06-B066-B4F3F0A3E322}" scale="75" showRuler="0" topLeftCell="A13">
      <selection activeCell="B31" sqref="B31"/>
      <pageMargins left="0.59055118110236227" right="0.59055118110236227" top="0.98425196850393704" bottom="0.59055118110236227" header="0.51181102362204722" footer="0.31496062992125984"/>
      <printOptions horizontalCentered="1" verticalCentered="1"/>
      <pageSetup paperSize="9" scale="65" orientation="portrait" horizontalDpi="300" verticalDpi="300" r:id="rId2"/>
      <headerFooter alignWithMargins="0">
        <oddHeader>&amp;L&amp;F  &amp;A&amp;RM.III/6.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59" orientation="portrait" r:id="rId3"/>
  <headerFooter alignWithMargins="0">
    <oddHeader xml:space="preserve">&amp;R&amp;"-,Félkövér"&amp;12 
12. melléklet a 15/2025. (V.30.) önkormányzati rendelethe&amp;"Times New Roman CE,Félkövér"z
"12. melléklet a 4/2025. (II.28) önkormányzati rendelethez"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4"/>
  <dimension ref="A2:H102"/>
  <sheetViews>
    <sheetView zoomScale="118" zoomScaleNormal="118" workbookViewId="0">
      <selection activeCell="A103" sqref="A103:XFD114"/>
    </sheetView>
  </sheetViews>
  <sheetFormatPr defaultRowHeight="15.75" x14ac:dyDescent="0.25"/>
  <cols>
    <col min="1" max="1" width="111.6640625" style="272" customWidth="1"/>
    <col min="2" max="2" width="34.1640625" style="273" customWidth="1"/>
    <col min="3" max="3" width="41.1640625" style="273" customWidth="1"/>
    <col min="4" max="4" width="38.1640625" style="204" bestFit="1" customWidth="1"/>
    <col min="5" max="5" width="13.83203125" style="241" customWidth="1"/>
    <col min="6" max="6" width="18.1640625" customWidth="1"/>
    <col min="7" max="16384" width="9.33203125" style="241"/>
  </cols>
  <sheetData>
    <row r="2" spans="1:8" ht="21" x14ac:dyDescent="0.35">
      <c r="A2" s="956" t="s">
        <v>121</v>
      </c>
      <c r="B2" s="956"/>
      <c r="C2" s="956"/>
      <c r="D2" s="956"/>
    </row>
    <row r="3" spans="1:8" ht="19.5" thickBot="1" x14ac:dyDescent="0.35">
      <c r="A3" s="242" t="s">
        <v>36</v>
      </c>
      <c r="B3" s="243"/>
      <c r="C3" s="243"/>
      <c r="D3" s="244" t="s">
        <v>206</v>
      </c>
    </row>
    <row r="4" spans="1:8" x14ac:dyDescent="0.25">
      <c r="A4" s="205" t="s">
        <v>158</v>
      </c>
      <c r="B4" s="19" t="s">
        <v>564</v>
      </c>
      <c r="C4" s="19" t="s">
        <v>560</v>
      </c>
      <c r="D4" s="19" t="s">
        <v>573</v>
      </c>
    </row>
    <row r="5" spans="1:8" ht="16.5" thickBot="1" x14ac:dyDescent="0.3">
      <c r="A5" s="245"/>
      <c r="B5" s="88" t="s">
        <v>352</v>
      </c>
      <c r="C5" s="88" t="s">
        <v>561</v>
      </c>
      <c r="D5" s="88" t="s">
        <v>352</v>
      </c>
    </row>
    <row r="6" spans="1:8" s="81" customFormat="1" ht="21" x14ac:dyDescent="0.35">
      <c r="A6" s="638" t="s">
        <v>475</v>
      </c>
      <c r="B6" s="639">
        <v>209018</v>
      </c>
      <c r="C6" s="639">
        <f>23262-3547</f>
        <v>19715</v>
      </c>
      <c r="D6" s="639">
        <f>SUM(B6:C6)</f>
        <v>228733</v>
      </c>
      <c r="E6" s="77"/>
      <c r="F6" s="169"/>
      <c r="H6" s="169"/>
    </row>
    <row r="7" spans="1:8" ht="21" x14ac:dyDescent="0.35">
      <c r="A7" s="248" t="s">
        <v>4</v>
      </c>
      <c r="B7" s="249">
        <v>3134054</v>
      </c>
      <c r="C7" s="249">
        <f>215302+810</f>
        <v>216112</v>
      </c>
      <c r="D7" s="249">
        <f>SUM(B7:C7)</f>
        <v>3350166</v>
      </c>
      <c r="E7" s="77"/>
      <c r="F7" s="169"/>
      <c r="H7" s="169"/>
    </row>
    <row r="8" spans="1:8" ht="21.75" thickBot="1" x14ac:dyDescent="0.4">
      <c r="A8" s="250" t="s">
        <v>116</v>
      </c>
      <c r="B8" s="168">
        <f>SUM(B6:B7)</f>
        <v>3343072</v>
      </c>
      <c r="C8" s="168">
        <f t="shared" ref="C8:D8" si="0">SUM(C6:C7)</f>
        <v>235827</v>
      </c>
      <c r="D8" s="168">
        <f t="shared" si="0"/>
        <v>3578899</v>
      </c>
      <c r="E8" s="77"/>
      <c r="F8" s="169"/>
      <c r="H8" s="169"/>
    </row>
    <row r="9" spans="1:8" ht="21" x14ac:dyDescent="0.35">
      <c r="A9" s="251" t="s">
        <v>179</v>
      </c>
      <c r="B9" s="252"/>
      <c r="C9" s="252"/>
      <c r="D9" s="252"/>
      <c r="F9" s="169"/>
      <c r="H9" s="169"/>
    </row>
    <row r="10" spans="1:8" ht="21" x14ac:dyDescent="0.35">
      <c r="A10" s="248" t="s">
        <v>194</v>
      </c>
      <c r="B10" s="253">
        <v>400000</v>
      </c>
      <c r="C10" s="253">
        <v>17946</v>
      </c>
      <c r="D10" s="253">
        <f>SUM(B10:C10)</f>
        <v>417946</v>
      </c>
      <c r="E10" s="77"/>
      <c r="F10" s="169"/>
      <c r="H10" s="169"/>
    </row>
    <row r="11" spans="1:8" ht="21" x14ac:dyDescent="0.35">
      <c r="A11" s="254" t="s">
        <v>201</v>
      </c>
      <c r="B11" s="253">
        <v>700000</v>
      </c>
      <c r="C11" s="253">
        <v>330</v>
      </c>
      <c r="D11" s="253">
        <f t="shared" ref="D11:D14" si="1">SUM(B11:C11)</f>
        <v>700330</v>
      </c>
      <c r="E11" s="77"/>
      <c r="F11" s="169"/>
      <c r="H11" s="169"/>
    </row>
    <row r="12" spans="1:8" ht="21" x14ac:dyDescent="0.35">
      <c r="A12" s="254" t="s">
        <v>256</v>
      </c>
      <c r="B12" s="253">
        <v>160000</v>
      </c>
      <c r="C12" s="253"/>
      <c r="D12" s="253">
        <f t="shared" si="1"/>
        <v>160000</v>
      </c>
      <c r="E12" s="77"/>
      <c r="F12" s="169"/>
      <c r="H12" s="169"/>
    </row>
    <row r="13" spans="1:8" ht="21" x14ac:dyDescent="0.35">
      <c r="A13" s="254" t="s">
        <v>127</v>
      </c>
      <c r="B13" s="253">
        <v>554736</v>
      </c>
      <c r="C13" s="253"/>
      <c r="D13" s="253">
        <f t="shared" si="1"/>
        <v>554736</v>
      </c>
      <c r="F13" s="169"/>
      <c r="H13" s="169"/>
    </row>
    <row r="14" spans="1:8" ht="21" x14ac:dyDescent="0.35">
      <c r="A14" s="255" t="s">
        <v>411</v>
      </c>
      <c r="B14" s="249">
        <v>0</v>
      </c>
      <c r="C14" s="249">
        <f>18302+2788+22</f>
        <v>21112</v>
      </c>
      <c r="D14" s="253">
        <f t="shared" si="1"/>
        <v>21112</v>
      </c>
      <c r="F14" s="169"/>
      <c r="H14" s="169"/>
    </row>
    <row r="15" spans="1:8" ht="21" x14ac:dyDescent="0.35">
      <c r="A15" s="256" t="s">
        <v>189</v>
      </c>
      <c r="B15" s="257">
        <f>SUM(B10:B14)</f>
        <v>1814736</v>
      </c>
      <c r="C15" s="257">
        <f>SUM(C10:C14)</f>
        <v>39388</v>
      </c>
      <c r="D15" s="257">
        <f>SUM(D10:D14)</f>
        <v>1854124</v>
      </c>
      <c r="F15" s="169"/>
      <c r="H15" s="169"/>
    </row>
    <row r="16" spans="1:8" ht="21" x14ac:dyDescent="0.35">
      <c r="A16" s="258" t="s">
        <v>5</v>
      </c>
      <c r="B16" s="252"/>
      <c r="C16" s="252"/>
      <c r="D16" s="252"/>
      <c r="F16" s="169"/>
      <c r="H16" s="169"/>
    </row>
    <row r="17" spans="1:8" ht="21" x14ac:dyDescent="0.35">
      <c r="A17" s="248" t="s">
        <v>367</v>
      </c>
      <c r="B17" s="253">
        <v>80000</v>
      </c>
      <c r="C17" s="253"/>
      <c r="D17" s="253">
        <f t="shared" ref="D17:D21" si="2">SUM(B17:C17)</f>
        <v>80000</v>
      </c>
      <c r="F17" s="169"/>
      <c r="H17" s="169"/>
    </row>
    <row r="18" spans="1:8" ht="21" x14ac:dyDescent="0.35">
      <c r="A18" s="248" t="s">
        <v>354</v>
      </c>
      <c r="B18" s="253">
        <v>63000</v>
      </c>
      <c r="C18" s="253"/>
      <c r="D18" s="253">
        <f t="shared" si="2"/>
        <v>63000</v>
      </c>
      <c r="F18" s="169"/>
      <c r="H18" s="169"/>
    </row>
    <row r="19" spans="1:8" ht="21" x14ac:dyDescent="0.35">
      <c r="A19" s="259" t="s">
        <v>212</v>
      </c>
      <c r="B19" s="224">
        <v>17500</v>
      </c>
      <c r="C19" s="224">
        <f>14201-7000+4922</f>
        <v>12123</v>
      </c>
      <c r="D19" s="224">
        <f t="shared" si="2"/>
        <v>29623</v>
      </c>
      <c r="E19" s="77"/>
      <c r="F19" s="169"/>
      <c r="H19" s="169"/>
    </row>
    <row r="20" spans="1:8" ht="21" x14ac:dyDescent="0.35">
      <c r="A20" s="254" t="s">
        <v>195</v>
      </c>
      <c r="B20" s="253">
        <v>15000</v>
      </c>
      <c r="C20" s="253"/>
      <c r="D20" s="253">
        <f t="shared" si="2"/>
        <v>15000</v>
      </c>
      <c r="F20" s="169"/>
      <c r="H20" s="169"/>
    </row>
    <row r="21" spans="1:8" ht="21" x14ac:dyDescent="0.35">
      <c r="A21" s="254" t="s">
        <v>556</v>
      </c>
      <c r="B21" s="253">
        <v>472625</v>
      </c>
      <c r="C21" s="253">
        <f>513+8605+2558+8465</f>
        <v>20141</v>
      </c>
      <c r="D21" s="253">
        <f t="shared" si="2"/>
        <v>492766</v>
      </c>
      <c r="E21" s="77"/>
      <c r="F21" s="169"/>
      <c r="H21" s="169"/>
    </row>
    <row r="22" spans="1:8" ht="21" x14ac:dyDescent="0.35">
      <c r="A22" s="260" t="s">
        <v>135</v>
      </c>
      <c r="B22" s="224">
        <v>10000</v>
      </c>
      <c r="C22" s="224">
        <f>9761+300-150</f>
        <v>9911</v>
      </c>
      <c r="D22" s="224">
        <f t="shared" ref="D22:D24" si="3">SUM(B22:C22)</f>
        <v>19911</v>
      </c>
      <c r="E22" s="77"/>
      <c r="F22" s="169"/>
      <c r="H22" s="169"/>
    </row>
    <row r="23" spans="1:8" ht="21" x14ac:dyDescent="0.35">
      <c r="A23" s="260" t="s">
        <v>192</v>
      </c>
      <c r="B23" s="224">
        <v>0</v>
      </c>
      <c r="C23" s="224">
        <v>453</v>
      </c>
      <c r="D23" s="224">
        <f t="shared" si="3"/>
        <v>453</v>
      </c>
      <c r="E23" s="77"/>
      <c r="F23" s="169"/>
      <c r="H23" s="169"/>
    </row>
    <row r="24" spans="1:8" ht="21" x14ac:dyDescent="0.35">
      <c r="A24" s="259" t="s">
        <v>425</v>
      </c>
      <c r="B24" s="224">
        <v>1000</v>
      </c>
      <c r="C24" s="224">
        <v>1696</v>
      </c>
      <c r="D24" s="224">
        <f t="shared" si="3"/>
        <v>2696</v>
      </c>
      <c r="E24" s="77"/>
      <c r="F24" s="169"/>
      <c r="H24" s="169"/>
    </row>
    <row r="25" spans="1:8" ht="21" x14ac:dyDescent="0.35">
      <c r="A25" s="248" t="s">
        <v>122</v>
      </c>
      <c r="B25" s="253">
        <v>13040</v>
      </c>
      <c r="C25" s="253"/>
      <c r="D25" s="253">
        <f>SUM(B25:C25)</f>
        <v>13040</v>
      </c>
      <c r="F25" s="169"/>
      <c r="H25" s="169"/>
    </row>
    <row r="26" spans="1:8" ht="21" x14ac:dyDescent="0.35">
      <c r="A26" s="260" t="s">
        <v>150</v>
      </c>
      <c r="B26" s="224">
        <v>1200</v>
      </c>
      <c r="C26" s="224"/>
      <c r="D26" s="224">
        <f>SUM(B26:C26)</f>
        <v>1200</v>
      </c>
      <c r="F26" s="169"/>
      <c r="H26" s="169"/>
    </row>
    <row r="27" spans="1:8" ht="21" x14ac:dyDescent="0.35">
      <c r="A27" s="259" t="s">
        <v>427</v>
      </c>
      <c r="B27" s="224">
        <v>0</v>
      </c>
      <c r="C27" s="224">
        <v>1500</v>
      </c>
      <c r="D27" s="224">
        <f t="shared" ref="D27:D35" si="4">SUM(B27:C27)</f>
        <v>1500</v>
      </c>
      <c r="E27" s="77"/>
      <c r="F27" s="169"/>
      <c r="H27" s="169"/>
    </row>
    <row r="28" spans="1:8" ht="21" x14ac:dyDescent="0.35">
      <c r="A28" s="10" t="s">
        <v>512</v>
      </c>
      <c r="B28" s="224">
        <v>0</v>
      </c>
      <c r="C28" s="224">
        <v>3000</v>
      </c>
      <c r="D28" s="224">
        <f t="shared" si="4"/>
        <v>3000</v>
      </c>
      <c r="E28" s="77"/>
      <c r="F28" s="169"/>
      <c r="H28" s="169"/>
    </row>
    <row r="29" spans="1:8" ht="21" x14ac:dyDescent="0.35">
      <c r="A29" s="259" t="s">
        <v>203</v>
      </c>
      <c r="B29" s="224">
        <v>3154</v>
      </c>
      <c r="C29" s="224">
        <v>236</v>
      </c>
      <c r="D29" s="224">
        <f t="shared" si="4"/>
        <v>3390</v>
      </c>
      <c r="E29" s="77"/>
      <c r="F29" s="169"/>
      <c r="H29" s="169"/>
    </row>
    <row r="30" spans="1:8" ht="21" x14ac:dyDescent="0.35">
      <c r="A30" s="260" t="s">
        <v>202</v>
      </c>
      <c r="B30" s="224">
        <v>4200</v>
      </c>
      <c r="C30" s="224"/>
      <c r="D30" s="224">
        <f t="shared" si="4"/>
        <v>4200</v>
      </c>
      <c r="F30" s="169"/>
      <c r="H30" s="169"/>
    </row>
    <row r="31" spans="1:8" ht="21" x14ac:dyDescent="0.35">
      <c r="A31" s="260" t="s">
        <v>412</v>
      </c>
      <c r="B31" s="224">
        <v>1414000</v>
      </c>
      <c r="C31" s="224">
        <v>19093</v>
      </c>
      <c r="D31" s="224">
        <f t="shared" si="4"/>
        <v>1433093</v>
      </c>
      <c r="E31" s="77"/>
      <c r="F31" s="169"/>
      <c r="H31" s="169"/>
    </row>
    <row r="32" spans="1:8" ht="33" x14ac:dyDescent="0.35">
      <c r="A32" s="260" t="s">
        <v>405</v>
      </c>
      <c r="B32" s="224">
        <v>2500</v>
      </c>
      <c r="C32" s="224"/>
      <c r="D32" s="224">
        <f>SUM(B32:C32)</f>
        <v>2500</v>
      </c>
      <c r="F32" s="169"/>
      <c r="H32" s="169"/>
    </row>
    <row r="33" spans="1:8" ht="21" x14ac:dyDescent="0.35">
      <c r="A33" s="260" t="s">
        <v>566</v>
      </c>
      <c r="B33" s="224">
        <v>50000</v>
      </c>
      <c r="C33" s="224"/>
      <c r="D33" s="224">
        <f t="shared" ref="D33:D34" si="5">SUM(B33:C33)</f>
        <v>50000</v>
      </c>
      <c r="F33" s="169"/>
      <c r="H33" s="169"/>
    </row>
    <row r="34" spans="1:8" ht="21" x14ac:dyDescent="0.35">
      <c r="A34" s="260" t="s">
        <v>567</v>
      </c>
      <c r="B34" s="224">
        <v>10516</v>
      </c>
      <c r="C34" s="224"/>
      <c r="D34" s="224">
        <f t="shared" si="5"/>
        <v>10516</v>
      </c>
      <c r="F34" s="169"/>
      <c r="H34" s="169"/>
    </row>
    <row r="35" spans="1:8" ht="21" x14ac:dyDescent="0.35">
      <c r="A35" s="260" t="s">
        <v>465</v>
      </c>
      <c r="B35" s="224">
        <v>3810</v>
      </c>
      <c r="C35" s="224"/>
      <c r="D35" s="224">
        <f t="shared" si="4"/>
        <v>3810</v>
      </c>
      <c r="F35" s="169"/>
      <c r="H35" s="169"/>
    </row>
    <row r="36" spans="1:8" ht="21" x14ac:dyDescent="0.35">
      <c r="A36" s="254" t="s">
        <v>507</v>
      </c>
      <c r="B36" s="253">
        <v>3833106</v>
      </c>
      <c r="C36" s="253"/>
      <c r="D36" s="253">
        <f>SUM(B36:C36)</f>
        <v>3833106</v>
      </c>
      <c r="F36" s="169"/>
      <c r="H36" s="169"/>
    </row>
    <row r="37" spans="1:8" ht="21" x14ac:dyDescent="0.35">
      <c r="A37" s="260" t="s">
        <v>500</v>
      </c>
      <c r="B37" s="224">
        <v>0</v>
      </c>
      <c r="C37" s="224">
        <v>5000</v>
      </c>
      <c r="D37" s="224">
        <f>SUM(B37:C37)</f>
        <v>5000</v>
      </c>
      <c r="E37" s="77"/>
      <c r="F37" s="169"/>
      <c r="H37" s="169"/>
    </row>
    <row r="38" spans="1:8" ht="21" x14ac:dyDescent="0.35">
      <c r="A38" s="262" t="s">
        <v>381</v>
      </c>
      <c r="B38" s="252"/>
      <c r="C38" s="252"/>
      <c r="D38" s="246"/>
      <c r="F38" s="169"/>
      <c r="H38" s="169"/>
    </row>
    <row r="39" spans="1:8" ht="21" x14ac:dyDescent="0.35">
      <c r="A39" s="259" t="s">
        <v>382</v>
      </c>
      <c r="B39" s="224">
        <v>127000</v>
      </c>
      <c r="C39" s="224">
        <f>1000+30000</f>
        <v>31000</v>
      </c>
      <c r="D39" s="224">
        <f t="shared" ref="D39:D45" si="6">SUM(B39:C39)</f>
        <v>158000</v>
      </c>
      <c r="E39" s="77"/>
      <c r="F39" s="169"/>
      <c r="H39" s="169"/>
    </row>
    <row r="40" spans="1:8" ht="33" x14ac:dyDescent="0.35">
      <c r="A40" s="259" t="s">
        <v>434</v>
      </c>
      <c r="B40" s="224">
        <v>67000</v>
      </c>
      <c r="C40" s="224">
        <f>2161+13000</f>
        <v>15161</v>
      </c>
      <c r="D40" s="224">
        <f t="shared" si="6"/>
        <v>82161</v>
      </c>
      <c r="F40" s="169"/>
      <c r="H40" s="169"/>
    </row>
    <row r="41" spans="1:8" ht="21" x14ac:dyDescent="0.35">
      <c r="A41" s="251" t="s">
        <v>369</v>
      </c>
      <c r="B41" s="263"/>
      <c r="C41" s="263"/>
      <c r="D41" s="263"/>
      <c r="F41" s="169"/>
      <c r="H41" s="169"/>
    </row>
    <row r="42" spans="1:8" ht="21" x14ac:dyDescent="0.35">
      <c r="A42" s="259" t="s">
        <v>435</v>
      </c>
      <c r="B42" s="224">
        <v>1000</v>
      </c>
      <c r="C42" s="224"/>
      <c r="D42" s="224">
        <f t="shared" si="6"/>
        <v>1000</v>
      </c>
      <c r="F42" s="169"/>
      <c r="H42" s="169"/>
    </row>
    <row r="43" spans="1:8" ht="21" x14ac:dyDescent="0.35">
      <c r="A43" s="259" t="s">
        <v>120</v>
      </c>
      <c r="B43" s="224">
        <v>8000</v>
      </c>
      <c r="C43" s="224"/>
      <c r="D43" s="224">
        <f t="shared" si="6"/>
        <v>8000</v>
      </c>
      <c r="F43" s="169"/>
      <c r="H43" s="169"/>
    </row>
    <row r="44" spans="1:8" ht="21" x14ac:dyDescent="0.35">
      <c r="A44" s="260" t="s">
        <v>79</v>
      </c>
      <c r="B44" s="224">
        <v>2000</v>
      </c>
      <c r="C44" s="224"/>
      <c r="D44" s="224">
        <f t="shared" si="6"/>
        <v>2000</v>
      </c>
      <c r="F44" s="169"/>
      <c r="H44" s="169"/>
    </row>
    <row r="45" spans="1:8" ht="21" x14ac:dyDescent="0.35">
      <c r="A45" s="260" t="s">
        <v>472</v>
      </c>
      <c r="B45" s="224">
        <v>2000</v>
      </c>
      <c r="C45" s="224"/>
      <c r="D45" s="224">
        <f t="shared" si="6"/>
        <v>2000</v>
      </c>
      <c r="F45" s="169"/>
      <c r="H45" s="169"/>
    </row>
    <row r="46" spans="1:8" ht="33" customHeight="1" x14ac:dyDescent="0.35">
      <c r="A46" s="251" t="s">
        <v>376</v>
      </c>
      <c r="B46" s="246"/>
      <c r="C46" s="246"/>
      <c r="D46" s="246"/>
      <c r="F46" s="169"/>
      <c r="H46" s="169"/>
    </row>
    <row r="47" spans="1:8" ht="21" x14ac:dyDescent="0.35">
      <c r="A47" s="248" t="s">
        <v>444</v>
      </c>
      <c r="B47" s="253">
        <v>6000</v>
      </c>
      <c r="C47" s="253">
        <v>2807</v>
      </c>
      <c r="D47" s="253">
        <f>SUM(B47:C47)</f>
        <v>8807</v>
      </c>
      <c r="E47" s="77"/>
      <c r="F47" s="169"/>
      <c r="H47" s="169"/>
    </row>
    <row r="48" spans="1:8" ht="21" x14ac:dyDescent="0.35">
      <c r="A48" s="260" t="s">
        <v>377</v>
      </c>
      <c r="B48" s="224">
        <v>2241</v>
      </c>
      <c r="C48" s="224"/>
      <c r="D48" s="224">
        <f t="shared" ref="D48:D53" si="7">SUM(B48:C48)</f>
        <v>2241</v>
      </c>
      <c r="F48" s="169"/>
      <c r="H48" s="169"/>
    </row>
    <row r="49" spans="1:8" ht="21" x14ac:dyDescent="0.35">
      <c r="A49" s="260" t="s">
        <v>364</v>
      </c>
      <c r="B49" s="224">
        <v>5500</v>
      </c>
      <c r="C49" s="224">
        <v>12420</v>
      </c>
      <c r="D49" s="224">
        <f t="shared" si="7"/>
        <v>17920</v>
      </c>
      <c r="E49" s="77"/>
      <c r="F49" s="169"/>
      <c r="H49" s="169"/>
    </row>
    <row r="50" spans="1:8" ht="21" x14ac:dyDescent="0.35">
      <c r="A50" s="260" t="s">
        <v>516</v>
      </c>
      <c r="B50" s="224">
        <v>0</v>
      </c>
      <c r="C50" s="224">
        <v>3300</v>
      </c>
      <c r="D50" s="224">
        <f t="shared" si="7"/>
        <v>3300</v>
      </c>
      <c r="E50" s="77"/>
      <c r="F50" s="169"/>
      <c r="H50" s="169"/>
    </row>
    <row r="51" spans="1:8" ht="21" x14ac:dyDescent="0.35">
      <c r="A51" s="260" t="s">
        <v>543</v>
      </c>
      <c r="B51" s="224">
        <v>100000</v>
      </c>
      <c r="C51" s="224"/>
      <c r="D51" s="224">
        <f t="shared" si="7"/>
        <v>100000</v>
      </c>
      <c r="F51" s="169"/>
      <c r="H51" s="169"/>
    </row>
    <row r="52" spans="1:8" ht="21" x14ac:dyDescent="0.35">
      <c r="A52" s="260" t="s">
        <v>445</v>
      </c>
      <c r="B52" s="224">
        <v>18500</v>
      </c>
      <c r="C52" s="224">
        <v>1524</v>
      </c>
      <c r="D52" s="224">
        <f t="shared" si="7"/>
        <v>20024</v>
      </c>
      <c r="E52" s="77"/>
      <c r="F52" s="169"/>
      <c r="H52" s="169"/>
    </row>
    <row r="53" spans="1:8" ht="21" x14ac:dyDescent="0.35">
      <c r="A53" s="260" t="s">
        <v>346</v>
      </c>
      <c r="B53" s="224">
        <v>50000</v>
      </c>
      <c r="C53" s="224"/>
      <c r="D53" s="224">
        <f t="shared" si="7"/>
        <v>50000</v>
      </c>
      <c r="F53" s="169"/>
      <c r="H53" s="169"/>
    </row>
    <row r="54" spans="1:8" ht="21" x14ac:dyDescent="0.35">
      <c r="A54" s="251" t="s">
        <v>8</v>
      </c>
      <c r="B54" s="263"/>
      <c r="C54" s="263"/>
      <c r="D54" s="263"/>
      <c r="F54" s="169"/>
      <c r="H54" s="169"/>
    </row>
    <row r="55" spans="1:8" ht="33" x14ac:dyDescent="0.35">
      <c r="A55" s="248" t="s">
        <v>35</v>
      </c>
      <c r="B55" s="253">
        <v>8000</v>
      </c>
      <c r="C55" s="253">
        <v>939</v>
      </c>
      <c r="D55" s="253">
        <f>SUM(B55:C55)</f>
        <v>8939</v>
      </c>
      <c r="E55" s="77"/>
      <c r="F55" s="169"/>
      <c r="H55" s="169"/>
    </row>
    <row r="56" spans="1:8" ht="21" x14ac:dyDescent="0.35">
      <c r="A56" s="264" t="s">
        <v>565</v>
      </c>
      <c r="B56" s="224">
        <v>25500</v>
      </c>
      <c r="C56" s="224"/>
      <c r="D56" s="224">
        <f>SUM(B56:C56)</f>
        <v>25500</v>
      </c>
      <c r="E56" s="585"/>
      <c r="F56" s="169"/>
      <c r="H56" s="169"/>
    </row>
    <row r="57" spans="1:8" ht="21" x14ac:dyDescent="0.35">
      <c r="A57" s="264" t="s">
        <v>28</v>
      </c>
      <c r="B57" s="224">
        <v>7000</v>
      </c>
      <c r="C57" s="224">
        <v>888</v>
      </c>
      <c r="D57" s="224">
        <f t="shared" ref="D57:D75" si="8">SUM(B57:C57)</f>
        <v>7888</v>
      </c>
      <c r="E57" s="77"/>
      <c r="F57" s="169"/>
      <c r="H57" s="169"/>
    </row>
    <row r="58" spans="1:8" ht="21" x14ac:dyDescent="0.35">
      <c r="A58" s="264" t="s">
        <v>342</v>
      </c>
      <c r="B58" s="224">
        <v>30000</v>
      </c>
      <c r="C58" s="224">
        <v>735</v>
      </c>
      <c r="D58" s="224">
        <f t="shared" si="8"/>
        <v>30735</v>
      </c>
      <c r="E58" s="77"/>
      <c r="F58" s="169"/>
      <c r="H58" s="169"/>
    </row>
    <row r="59" spans="1:8" ht="21" x14ac:dyDescent="0.35">
      <c r="A59" s="264" t="s">
        <v>219</v>
      </c>
      <c r="B59" s="224">
        <v>300</v>
      </c>
      <c r="C59" s="224"/>
      <c r="D59" s="224">
        <f t="shared" si="8"/>
        <v>300</v>
      </c>
      <c r="E59" s="585"/>
      <c r="F59" s="169"/>
      <c r="H59" s="169"/>
    </row>
    <row r="60" spans="1:8" ht="21" x14ac:dyDescent="0.35">
      <c r="A60" s="264" t="s">
        <v>123</v>
      </c>
      <c r="B60" s="224">
        <v>8300</v>
      </c>
      <c r="C60" s="224">
        <v>1852</v>
      </c>
      <c r="D60" s="224">
        <f t="shared" si="8"/>
        <v>10152</v>
      </c>
      <c r="E60" s="77"/>
      <c r="F60" s="169"/>
      <c r="H60" s="169"/>
    </row>
    <row r="61" spans="1:8" ht="21" x14ac:dyDescent="0.35">
      <c r="A61" s="260" t="s">
        <v>348</v>
      </c>
      <c r="B61" s="224">
        <v>3500</v>
      </c>
      <c r="C61" s="224">
        <f>199-54</f>
        <v>145</v>
      </c>
      <c r="D61" s="224">
        <f t="shared" si="8"/>
        <v>3645</v>
      </c>
      <c r="E61" s="77"/>
      <c r="F61" s="169"/>
      <c r="H61" s="169"/>
    </row>
    <row r="62" spans="1:8" ht="33" x14ac:dyDescent="0.35">
      <c r="A62" s="260" t="s">
        <v>594</v>
      </c>
      <c r="B62" s="224"/>
      <c r="C62" s="224">
        <v>54</v>
      </c>
      <c r="D62" s="224">
        <f t="shared" si="8"/>
        <v>54</v>
      </c>
      <c r="E62" s="77"/>
      <c r="F62" s="169"/>
      <c r="H62" s="169"/>
    </row>
    <row r="63" spans="1:8" ht="21" x14ac:dyDescent="0.35">
      <c r="A63" s="260" t="s">
        <v>383</v>
      </c>
      <c r="B63" s="224">
        <v>3810</v>
      </c>
      <c r="C63" s="224"/>
      <c r="D63" s="224">
        <f t="shared" si="8"/>
        <v>3810</v>
      </c>
      <c r="E63" s="585"/>
      <c r="F63" s="169"/>
      <c r="H63" s="169"/>
    </row>
    <row r="64" spans="1:8" ht="21" x14ac:dyDescent="0.35">
      <c r="A64" s="260" t="s">
        <v>365</v>
      </c>
      <c r="B64" s="224">
        <v>500</v>
      </c>
      <c r="C64" s="224"/>
      <c r="D64" s="224">
        <f t="shared" si="8"/>
        <v>500</v>
      </c>
      <c r="E64" s="585"/>
      <c r="F64" s="169"/>
      <c r="H64" s="169"/>
    </row>
    <row r="65" spans="1:8" ht="21" x14ac:dyDescent="0.35">
      <c r="A65" s="260" t="s">
        <v>452</v>
      </c>
      <c r="B65" s="224">
        <v>7500</v>
      </c>
      <c r="C65" s="224">
        <v>1219</v>
      </c>
      <c r="D65" s="224">
        <f t="shared" si="8"/>
        <v>8719</v>
      </c>
      <c r="E65" s="77"/>
      <c r="F65" s="169"/>
      <c r="H65" s="169"/>
    </row>
    <row r="66" spans="1:8" ht="21" x14ac:dyDescent="0.35">
      <c r="A66" s="260" t="s">
        <v>453</v>
      </c>
      <c r="B66" s="224">
        <v>2500</v>
      </c>
      <c r="C66" s="224">
        <v>363</v>
      </c>
      <c r="D66" s="224">
        <f t="shared" si="8"/>
        <v>2863</v>
      </c>
      <c r="E66" s="77"/>
      <c r="F66" s="169"/>
      <c r="H66" s="169"/>
    </row>
    <row r="67" spans="1:8" ht="21" x14ac:dyDescent="0.35">
      <c r="A67" s="260" t="s">
        <v>454</v>
      </c>
      <c r="B67" s="224">
        <v>2500</v>
      </c>
      <c r="C67" s="224">
        <v>363</v>
      </c>
      <c r="D67" s="224">
        <f t="shared" si="8"/>
        <v>2863</v>
      </c>
      <c r="E67" s="77"/>
      <c r="F67" s="169"/>
      <c r="H67" s="169"/>
    </row>
    <row r="68" spans="1:8" ht="21" x14ac:dyDescent="0.35">
      <c r="A68" s="251" t="s">
        <v>7</v>
      </c>
      <c r="B68" s="263"/>
      <c r="C68" s="263"/>
      <c r="D68" s="246"/>
      <c r="E68" s="586"/>
      <c r="F68" s="169"/>
      <c r="H68" s="169"/>
    </row>
    <row r="69" spans="1:8" ht="21" x14ac:dyDescent="0.35">
      <c r="A69" s="259" t="s">
        <v>41</v>
      </c>
      <c r="B69" s="224">
        <v>15000</v>
      </c>
      <c r="C69" s="224">
        <f>46800+3238+1305+2161</f>
        <v>53504</v>
      </c>
      <c r="D69" s="224">
        <f t="shared" si="8"/>
        <v>68504</v>
      </c>
      <c r="E69" s="77"/>
      <c r="F69" s="169"/>
      <c r="H69" s="169"/>
    </row>
    <row r="70" spans="1:8" ht="21" x14ac:dyDescent="0.35">
      <c r="A70" s="264" t="s">
        <v>343</v>
      </c>
      <c r="B70" s="224">
        <v>1500</v>
      </c>
      <c r="C70" s="224"/>
      <c r="D70" s="224">
        <f t="shared" si="8"/>
        <v>1500</v>
      </c>
      <c r="F70" s="169"/>
      <c r="H70" s="169"/>
    </row>
    <row r="71" spans="1:8" ht="21" x14ac:dyDescent="0.35">
      <c r="A71" s="264" t="s">
        <v>476</v>
      </c>
      <c r="B71" s="224">
        <v>0</v>
      </c>
      <c r="C71" s="224">
        <v>350</v>
      </c>
      <c r="D71" s="224">
        <f t="shared" si="8"/>
        <v>350</v>
      </c>
      <c r="F71" s="169"/>
      <c r="H71" s="169"/>
    </row>
    <row r="72" spans="1:8" ht="21" x14ac:dyDescent="0.35">
      <c r="A72" s="264" t="s">
        <v>423</v>
      </c>
      <c r="B72" s="224">
        <v>0</v>
      </c>
      <c r="C72" s="224">
        <v>350</v>
      </c>
      <c r="D72" s="224">
        <f t="shared" si="8"/>
        <v>350</v>
      </c>
      <c r="F72" s="169"/>
      <c r="H72" s="169"/>
    </row>
    <row r="73" spans="1:8" ht="48.75" x14ac:dyDescent="0.35">
      <c r="A73" s="264" t="s">
        <v>356</v>
      </c>
      <c r="B73" s="224">
        <v>4500</v>
      </c>
      <c r="C73" s="224"/>
      <c r="D73" s="224">
        <f t="shared" si="8"/>
        <v>4500</v>
      </c>
      <c r="F73" s="169"/>
      <c r="H73" s="169"/>
    </row>
    <row r="74" spans="1:8" ht="21" x14ac:dyDescent="0.35">
      <c r="A74" s="266" t="s">
        <v>6</v>
      </c>
      <c r="B74" s="246"/>
      <c r="C74" s="246"/>
      <c r="D74" s="246"/>
      <c r="F74" s="169"/>
      <c r="H74" s="169"/>
    </row>
    <row r="75" spans="1:8" ht="21" x14ac:dyDescent="0.35">
      <c r="A75" s="259" t="s">
        <v>274</v>
      </c>
      <c r="B75" s="224">
        <v>0</v>
      </c>
      <c r="C75" s="224">
        <v>5981</v>
      </c>
      <c r="D75" s="224">
        <f t="shared" si="8"/>
        <v>5981</v>
      </c>
      <c r="F75" s="169"/>
      <c r="H75" s="169"/>
    </row>
    <row r="76" spans="1:8" s="202" customFormat="1" ht="21.75" thickBot="1" x14ac:dyDescent="0.4">
      <c r="A76" s="250" t="s">
        <v>204</v>
      </c>
      <c r="B76" s="168">
        <f>SUM(B17:B75)</f>
        <v>6504302</v>
      </c>
      <c r="C76" s="168">
        <f>SUM(C17:C75)</f>
        <v>206108</v>
      </c>
      <c r="D76" s="168">
        <f>SUM(D17:D75)</f>
        <v>6710410</v>
      </c>
      <c r="F76" s="169"/>
      <c r="H76" s="169"/>
    </row>
    <row r="77" spans="1:8" ht="21" x14ac:dyDescent="0.35">
      <c r="A77" s="267" t="s">
        <v>95</v>
      </c>
      <c r="B77" s="252"/>
      <c r="C77" s="252"/>
      <c r="D77" s="252"/>
      <c r="F77" s="169"/>
      <c r="H77" s="169"/>
    </row>
    <row r="78" spans="1:8" ht="21" x14ac:dyDescent="0.35">
      <c r="A78" s="268" t="s">
        <v>392</v>
      </c>
      <c r="B78" s="224">
        <v>76672</v>
      </c>
      <c r="C78" s="224">
        <v>-76672</v>
      </c>
      <c r="D78" s="224">
        <f>SUM(B78:C78)</f>
        <v>0</v>
      </c>
      <c r="E78" s="77"/>
      <c r="F78" s="169"/>
      <c r="H78" s="169"/>
    </row>
    <row r="79" spans="1:8" ht="21" x14ac:dyDescent="0.35">
      <c r="A79" s="268" t="s">
        <v>499</v>
      </c>
      <c r="B79" s="224"/>
      <c r="C79" s="224">
        <v>22097</v>
      </c>
      <c r="D79" s="224">
        <f t="shared" ref="D79:D87" si="9">SUM(B79:C79)</f>
        <v>22097</v>
      </c>
      <c r="E79" s="77"/>
      <c r="F79" s="169"/>
      <c r="H79" s="169"/>
    </row>
    <row r="80" spans="1:8" ht="21" x14ac:dyDescent="0.35">
      <c r="A80" s="268" t="s">
        <v>498</v>
      </c>
      <c r="B80" s="224"/>
      <c r="C80" s="224">
        <v>9278</v>
      </c>
      <c r="D80" s="224">
        <f t="shared" si="9"/>
        <v>9278</v>
      </c>
      <c r="E80" s="77"/>
      <c r="F80" s="169"/>
      <c r="H80" s="169"/>
    </row>
    <row r="81" spans="1:8" ht="21" x14ac:dyDescent="0.35">
      <c r="A81" s="261" t="s">
        <v>451</v>
      </c>
      <c r="B81" s="224"/>
      <c r="C81" s="224">
        <v>15217</v>
      </c>
      <c r="D81" s="224">
        <f t="shared" si="9"/>
        <v>15217</v>
      </c>
      <c r="E81" s="77"/>
      <c r="F81" s="169"/>
      <c r="H81" s="169"/>
    </row>
    <row r="82" spans="1:8" ht="33" x14ac:dyDescent="0.35">
      <c r="A82" s="268" t="s">
        <v>509</v>
      </c>
      <c r="B82" s="224"/>
      <c r="C82" s="224">
        <v>2000</v>
      </c>
      <c r="D82" s="224">
        <f t="shared" si="9"/>
        <v>2000</v>
      </c>
      <c r="E82" s="77"/>
      <c r="F82" s="169"/>
      <c r="H82" s="169"/>
    </row>
    <row r="83" spans="1:8" ht="21" x14ac:dyDescent="0.35">
      <c r="A83" s="268" t="s">
        <v>510</v>
      </c>
      <c r="B83" s="224"/>
      <c r="C83" s="224">
        <v>2249</v>
      </c>
      <c r="D83" s="224">
        <f t="shared" si="9"/>
        <v>2249</v>
      </c>
      <c r="E83" s="77"/>
      <c r="F83" s="169"/>
      <c r="H83" s="169"/>
    </row>
    <row r="84" spans="1:8" ht="21" x14ac:dyDescent="0.35">
      <c r="A84" s="268" t="s">
        <v>511</v>
      </c>
      <c r="B84" s="224"/>
      <c r="C84" s="224">
        <v>5002</v>
      </c>
      <c r="D84" s="224">
        <f t="shared" si="9"/>
        <v>5002</v>
      </c>
      <c r="E84" s="77"/>
      <c r="F84" s="169"/>
      <c r="H84" s="169"/>
    </row>
    <row r="85" spans="1:8" ht="21" x14ac:dyDescent="0.35">
      <c r="A85" s="261" t="s">
        <v>448</v>
      </c>
      <c r="B85" s="224"/>
      <c r="C85" s="224">
        <v>20828</v>
      </c>
      <c r="D85" s="224">
        <f t="shared" si="9"/>
        <v>20828</v>
      </c>
      <c r="E85" s="77"/>
      <c r="F85" s="169"/>
      <c r="H85" s="169"/>
    </row>
    <row r="86" spans="1:8" ht="33" x14ac:dyDescent="0.35">
      <c r="A86" s="261" t="s">
        <v>592</v>
      </c>
      <c r="B86" s="224"/>
      <c r="C86" s="224">
        <v>1850</v>
      </c>
      <c r="D86" s="224">
        <f t="shared" si="9"/>
        <v>1850</v>
      </c>
      <c r="E86" s="77"/>
      <c r="F86" s="169"/>
      <c r="H86" s="169"/>
    </row>
    <row r="87" spans="1:8" ht="21" x14ac:dyDescent="0.35">
      <c r="A87" s="261" t="s">
        <v>588</v>
      </c>
      <c r="B87" s="224"/>
      <c r="C87" s="224">
        <v>300</v>
      </c>
      <c r="D87" s="224">
        <f t="shared" si="9"/>
        <v>300</v>
      </c>
      <c r="E87" s="77"/>
      <c r="F87" s="169"/>
      <c r="H87" s="169"/>
    </row>
    <row r="88" spans="1:8" s="202" customFormat="1" ht="21.75" thickBot="1" x14ac:dyDescent="0.4">
      <c r="A88" s="250" t="s">
        <v>204</v>
      </c>
      <c r="B88" s="168">
        <f>SUM(B78:B87)</f>
        <v>76672</v>
      </c>
      <c r="C88" s="168">
        <f t="shared" ref="C88:D88" si="10">SUM(C78:C87)</f>
        <v>2149</v>
      </c>
      <c r="D88" s="168">
        <f t="shared" si="10"/>
        <v>78821</v>
      </c>
      <c r="F88" s="169"/>
      <c r="H88" s="169"/>
    </row>
    <row r="89" spans="1:8" s="202" customFormat="1" ht="21.75" thickBot="1" x14ac:dyDescent="0.4">
      <c r="A89" s="269" t="s">
        <v>117</v>
      </c>
      <c r="B89" s="270">
        <f>B15+B76+B88</f>
        <v>8395710</v>
      </c>
      <c r="C89" s="270">
        <f>C15+C76+C88</f>
        <v>247645</v>
      </c>
      <c r="D89" s="270">
        <f>D15+D76+D88</f>
        <v>8643355</v>
      </c>
      <c r="F89" s="169"/>
      <c r="H89" s="169"/>
    </row>
    <row r="90" spans="1:8" s="271" customFormat="1" ht="44.25" customHeight="1" thickBot="1" x14ac:dyDescent="0.4">
      <c r="A90" s="269" t="s">
        <v>293</v>
      </c>
      <c r="B90" s="270">
        <f>B89+B8</f>
        <v>11738782</v>
      </c>
      <c r="C90" s="270">
        <f>C89+C8</f>
        <v>483472</v>
      </c>
      <c r="D90" s="270">
        <f>D89+D8</f>
        <v>12222254</v>
      </c>
      <c r="F90" s="169"/>
      <c r="H90" s="169"/>
    </row>
    <row r="91" spans="1:8" x14ac:dyDescent="0.25">
      <c r="F91" s="169"/>
      <c r="H91" s="169"/>
    </row>
    <row r="92" spans="1:8" ht="19.5" thickBot="1" x14ac:dyDescent="0.35">
      <c r="A92" s="242" t="s">
        <v>80</v>
      </c>
      <c r="B92" s="274"/>
      <c r="C92" s="274"/>
      <c r="D92" s="275"/>
      <c r="F92" s="169"/>
      <c r="H92" s="169"/>
    </row>
    <row r="93" spans="1:8" x14ac:dyDescent="0.25">
      <c r="A93" s="222" t="s">
        <v>158</v>
      </c>
      <c r="B93" s="19" t="s">
        <v>564</v>
      </c>
      <c r="C93" s="19" t="s">
        <v>560</v>
      </c>
      <c r="D93" s="19" t="s">
        <v>573</v>
      </c>
      <c r="F93" s="169"/>
      <c r="H93" s="169"/>
    </row>
    <row r="94" spans="1:8" ht="16.5" thickBot="1" x14ac:dyDescent="0.3">
      <c r="A94" s="276"/>
      <c r="B94" s="88" t="s">
        <v>352</v>
      </c>
      <c r="C94" s="88" t="s">
        <v>561</v>
      </c>
      <c r="D94" s="88" t="s">
        <v>352</v>
      </c>
      <c r="F94" s="169"/>
      <c r="H94" s="169"/>
    </row>
    <row r="95" spans="1:8" ht="21" x14ac:dyDescent="0.35">
      <c r="A95" s="558" t="s">
        <v>475</v>
      </c>
      <c r="B95" s="559">
        <v>0</v>
      </c>
      <c r="C95" s="559">
        <f>4185+3547</f>
        <v>7732</v>
      </c>
      <c r="D95" s="559">
        <f>SUM(B95:C95)</f>
        <v>7732</v>
      </c>
      <c r="E95" s="77"/>
      <c r="F95" s="169"/>
      <c r="H95" s="169"/>
    </row>
    <row r="96" spans="1:8" ht="21.75" thickBot="1" x14ac:dyDescent="0.4">
      <c r="A96" s="259" t="s">
        <v>4</v>
      </c>
      <c r="B96" s="224">
        <v>72163</v>
      </c>
      <c r="C96" s="224">
        <v>21123</v>
      </c>
      <c r="D96" s="617">
        <f>SUM(B96:C96)</f>
        <v>93286</v>
      </c>
      <c r="E96" s="77"/>
      <c r="F96" s="169"/>
      <c r="H96" s="169"/>
    </row>
    <row r="97" spans="1:8" s="202" customFormat="1" ht="42.75" customHeight="1" thickBot="1" x14ac:dyDescent="0.4">
      <c r="A97" s="277" t="s">
        <v>292</v>
      </c>
      <c r="B97" s="247">
        <f>SUM(B95:B96)</f>
        <v>72163</v>
      </c>
      <c r="C97" s="247">
        <f t="shared" ref="C97:D97" si="11">SUM(C95:C96)</f>
        <v>28855</v>
      </c>
      <c r="D97" s="247">
        <f t="shared" si="11"/>
        <v>101018</v>
      </c>
      <c r="F97" s="169"/>
      <c r="H97" s="169"/>
    </row>
    <row r="98" spans="1:8" ht="21.75" thickBot="1" x14ac:dyDescent="0.4">
      <c r="A98" s="265"/>
      <c r="B98" s="278"/>
      <c r="C98" s="278"/>
      <c r="D98" s="278"/>
      <c r="F98" s="169"/>
      <c r="H98" s="169"/>
    </row>
    <row r="99" spans="1:8" s="202" customFormat="1" ht="41.25" customHeight="1" thickBot="1" x14ac:dyDescent="0.4">
      <c r="A99" s="279" t="s">
        <v>294</v>
      </c>
      <c r="B99" s="247">
        <f>B90+B97</f>
        <v>11810945</v>
      </c>
      <c r="C99" s="247">
        <f t="shared" ref="C99:D99" si="12">C90+C97</f>
        <v>512327</v>
      </c>
      <c r="D99" s="247">
        <f t="shared" si="12"/>
        <v>12323272</v>
      </c>
      <c r="F99" s="169"/>
      <c r="H99" s="169"/>
    </row>
    <row r="100" spans="1:8" x14ac:dyDescent="0.25">
      <c r="F100" s="169"/>
      <c r="H100" s="169"/>
    </row>
    <row r="101" spans="1:8" ht="18.75" x14ac:dyDescent="0.3">
      <c r="A101" s="272" t="s">
        <v>72</v>
      </c>
      <c r="D101" s="280"/>
      <c r="F101" s="169"/>
      <c r="H101" s="169"/>
    </row>
    <row r="102" spans="1:8" x14ac:dyDescent="0.25">
      <c r="A102" s="272" t="s">
        <v>73</v>
      </c>
      <c r="F102" s="169"/>
      <c r="H102" s="169"/>
    </row>
  </sheetData>
  <customSheetViews>
    <customSheetView guid="{6D4B996F-8915-4E78-98C2-E7EAE9C4580C}" scale="75" showRuler="0" topLeftCell="A49">
      <selection activeCell="B69" sqref="B69"/>
      <pageMargins left="0.39370078740157483" right="0.39370078740157483" top="0.39370078740157483" bottom="0.39370078740157483" header="0.11811023622047245" footer="0.11811023622047245"/>
      <printOptions horizontalCentered="1" verticalCentered="1"/>
      <pageSetup paperSize="9" scale="59" orientation="portrait" horizontalDpi="300" verticalDpi="300" r:id="rId1"/>
      <headerFooter alignWithMargins="0">
        <oddHeader>&amp;L&amp;F   &amp;A&amp;RM.III.7. sz. melléklet</oddHeader>
      </headerFooter>
    </customSheetView>
    <customSheetView guid="{186732C5-520C-4E06-B066-B4F3F0A3E322}" scale="75" showRuler="0" topLeftCell="A49">
      <selection activeCell="B69" sqref="B69"/>
      <pageMargins left="0.39370078740157483" right="0.39370078740157483" top="0.39370078740157483" bottom="0.39370078740157483" header="0.11811023622047245" footer="0.11811023622047245"/>
      <printOptions horizontalCentered="1" verticalCentered="1"/>
      <pageSetup paperSize="9" scale="59" orientation="portrait" horizontalDpi="300" verticalDpi="300" r:id="rId2"/>
      <headerFooter alignWithMargins="0">
        <oddHeader>&amp;L&amp;F   &amp;A&amp;RM.III.7.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39370078740157483" right="0.39370078740157483" top="0" bottom="0" header="0" footer="0.51181102362204722"/>
  <pageSetup paperSize="9" scale="55" orientation="portrait" r:id="rId3"/>
  <headerFooter alignWithMargins="0">
    <oddHeader xml:space="preserve">&amp;R&amp;"-,Félkövér"&amp;12 
13. melléklet a 15/2025. (V.30.) önkormányzati rendelethe&amp;"Times New Roman CE,Félkövér"z
"13. melléklet a 4/2025. (II.28) önkormányzati rendelethez"
</oddHeader>
  </headerFooter>
  <rowBreaks count="1" manualBreakCount="1">
    <brk id="53" max="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4"/>
  <sheetViews>
    <sheetView zoomScale="89" zoomScaleNormal="89" workbookViewId="0">
      <selection activeCell="E1" sqref="E1:E1048576"/>
    </sheetView>
  </sheetViews>
  <sheetFormatPr defaultRowHeight="15.75" x14ac:dyDescent="0.25"/>
  <cols>
    <col min="1" max="1" width="88.6640625" style="77" customWidth="1"/>
    <col min="2" max="2" width="39.6640625" style="77" customWidth="1"/>
    <col min="3" max="3" width="39.1640625" style="77" customWidth="1"/>
    <col min="4" max="4" width="38.1640625" style="77" bestFit="1" customWidth="1"/>
    <col min="5" max="5" width="11.33203125" style="77" bestFit="1" customWidth="1"/>
    <col min="6" max="6" width="9.33203125" style="77"/>
    <col min="7" max="7" width="22.83203125" style="77" customWidth="1"/>
    <col min="8" max="16384" width="9.33203125" style="77"/>
  </cols>
  <sheetData>
    <row r="1" spans="1:8" x14ac:dyDescent="0.25">
      <c r="A1" s="75"/>
      <c r="B1" s="75"/>
      <c r="C1" s="75"/>
      <c r="D1" s="75"/>
    </row>
    <row r="2" spans="1:8" ht="21" x14ac:dyDescent="0.35">
      <c r="A2" s="955" t="s">
        <v>539</v>
      </c>
      <c r="B2" s="955"/>
      <c r="C2" s="955"/>
      <c r="D2" s="955"/>
    </row>
    <row r="3" spans="1:8" x14ac:dyDescent="0.25">
      <c r="A3" s="81" t="s">
        <v>12</v>
      </c>
      <c r="B3" s="81"/>
      <c r="C3" s="81"/>
      <c r="D3" s="81"/>
    </row>
    <row r="4" spans="1:8" ht="16.5" thickBot="1" x14ac:dyDescent="0.3">
      <c r="D4" s="154" t="s">
        <v>206</v>
      </c>
    </row>
    <row r="5" spans="1:8" x14ac:dyDescent="0.25">
      <c r="A5" s="170" t="s">
        <v>158</v>
      </c>
      <c r="B5" s="19" t="s">
        <v>564</v>
      </c>
      <c r="C5" s="19" t="s">
        <v>560</v>
      </c>
      <c r="D5" s="19" t="s">
        <v>573</v>
      </c>
    </row>
    <row r="6" spans="1:8" ht="16.5" thickBot="1" x14ac:dyDescent="0.3">
      <c r="A6" s="171"/>
      <c r="B6" s="88" t="s">
        <v>352</v>
      </c>
      <c r="C6" s="88" t="s">
        <v>561</v>
      </c>
      <c r="D6" s="88" t="s">
        <v>352</v>
      </c>
    </row>
    <row r="7" spans="1:8" ht="21" x14ac:dyDescent="0.35">
      <c r="A7" s="596" t="s">
        <v>538</v>
      </c>
      <c r="B7" s="160">
        <v>18500</v>
      </c>
      <c r="C7" s="160">
        <v>7381</v>
      </c>
      <c r="D7" s="160">
        <f>SUM(B7:C7)</f>
        <v>25881</v>
      </c>
      <c r="G7" s="78"/>
      <c r="H7" s="78"/>
    </row>
    <row r="8" spans="1:8" ht="21" x14ac:dyDescent="0.35">
      <c r="A8" s="232" t="s">
        <v>421</v>
      </c>
      <c r="B8" s="35">
        <v>4000</v>
      </c>
      <c r="C8" s="35"/>
      <c r="D8" s="35">
        <f>SUM(B8:C8)</f>
        <v>4000</v>
      </c>
      <c r="G8" s="78"/>
      <c r="H8" s="78"/>
    </row>
    <row r="9" spans="1:8" ht="48.75" x14ac:dyDescent="0.35">
      <c r="A9" s="232" t="s">
        <v>529</v>
      </c>
      <c r="B9" s="32">
        <v>9200</v>
      </c>
      <c r="C9" s="32"/>
      <c r="D9" s="35">
        <f t="shared" ref="D9:D23" si="0">SUM(B9:C9)</f>
        <v>9200</v>
      </c>
      <c r="G9" s="78"/>
      <c r="H9" s="78"/>
    </row>
    <row r="10" spans="1:8" ht="21" x14ac:dyDescent="0.35">
      <c r="A10" s="10" t="s">
        <v>537</v>
      </c>
      <c r="B10" s="32">
        <v>420000</v>
      </c>
      <c r="C10" s="32"/>
      <c r="D10" s="35">
        <f t="shared" si="0"/>
        <v>420000</v>
      </c>
      <c r="G10" s="78"/>
      <c r="H10" s="78"/>
    </row>
    <row r="11" spans="1:8" ht="42.6" customHeight="1" x14ac:dyDescent="0.35">
      <c r="A11" s="232" t="s">
        <v>536</v>
      </c>
      <c r="B11" s="35">
        <v>297000</v>
      </c>
      <c r="C11" s="35"/>
      <c r="D11" s="35">
        <f t="shared" si="0"/>
        <v>297000</v>
      </c>
      <c r="G11" s="78"/>
      <c r="H11" s="78"/>
    </row>
    <row r="12" spans="1:8" ht="21" x14ac:dyDescent="0.35">
      <c r="A12" s="186" t="s">
        <v>272</v>
      </c>
      <c r="B12" s="32">
        <v>40000</v>
      </c>
      <c r="C12" s="32"/>
      <c r="D12" s="35">
        <f t="shared" si="0"/>
        <v>40000</v>
      </c>
      <c r="G12" s="78"/>
      <c r="H12" s="78"/>
    </row>
    <row r="13" spans="1:8" ht="21" x14ac:dyDescent="0.35">
      <c r="A13" s="164" t="s">
        <v>390</v>
      </c>
      <c r="B13" s="35">
        <v>55500</v>
      </c>
      <c r="C13" s="35"/>
      <c r="D13" s="35">
        <f t="shared" si="0"/>
        <v>55500</v>
      </c>
      <c r="G13" s="78"/>
      <c r="H13" s="78"/>
    </row>
    <row r="14" spans="1:8" ht="21" x14ac:dyDescent="0.35">
      <c r="A14" s="164" t="s">
        <v>541</v>
      </c>
      <c r="B14" s="35">
        <v>50000</v>
      </c>
      <c r="C14" s="35">
        <v>8000</v>
      </c>
      <c r="D14" s="35">
        <f t="shared" si="0"/>
        <v>58000</v>
      </c>
      <c r="G14" s="78"/>
      <c r="H14" s="78"/>
    </row>
    <row r="15" spans="1:8" ht="33" x14ac:dyDescent="0.35">
      <c r="A15" s="164" t="s">
        <v>535</v>
      </c>
      <c r="B15" s="35">
        <v>8268</v>
      </c>
      <c r="C15" s="35"/>
      <c r="D15" s="35">
        <f t="shared" si="0"/>
        <v>8268</v>
      </c>
      <c r="G15" s="78"/>
      <c r="H15" s="78"/>
    </row>
    <row r="16" spans="1:8" ht="33" x14ac:dyDescent="0.35">
      <c r="A16" s="164" t="s">
        <v>534</v>
      </c>
      <c r="B16" s="35">
        <v>8220</v>
      </c>
      <c r="C16" s="35"/>
      <c r="D16" s="35">
        <f t="shared" si="0"/>
        <v>8220</v>
      </c>
      <c r="G16" s="78"/>
      <c r="H16" s="78"/>
    </row>
    <row r="17" spans="1:8" ht="33" x14ac:dyDescent="0.35">
      <c r="A17" s="164" t="s">
        <v>416</v>
      </c>
      <c r="B17" s="40">
        <v>200</v>
      </c>
      <c r="C17" s="40"/>
      <c r="D17" s="35">
        <f t="shared" si="0"/>
        <v>200</v>
      </c>
      <c r="G17" s="78"/>
      <c r="H17" s="78"/>
    </row>
    <row r="18" spans="1:8" ht="21" x14ac:dyDescent="0.35">
      <c r="A18" s="164" t="s">
        <v>533</v>
      </c>
      <c r="B18" s="40">
        <v>5000</v>
      </c>
      <c r="C18" s="40"/>
      <c r="D18" s="35">
        <f t="shared" si="0"/>
        <v>5000</v>
      </c>
      <c r="G18" s="78"/>
      <c r="H18" s="78"/>
    </row>
    <row r="19" spans="1:8" ht="21" x14ac:dyDescent="0.35">
      <c r="A19" s="184" t="s">
        <v>532</v>
      </c>
      <c r="B19" s="35">
        <v>1089</v>
      </c>
      <c r="C19" s="35">
        <v>138</v>
      </c>
      <c r="D19" s="35">
        <f t="shared" si="0"/>
        <v>1227</v>
      </c>
      <c r="G19" s="78"/>
      <c r="H19" s="78"/>
    </row>
    <row r="20" spans="1:8" ht="21" x14ac:dyDescent="0.35">
      <c r="A20" s="184" t="s">
        <v>441</v>
      </c>
      <c r="B20" s="35">
        <v>1000</v>
      </c>
      <c r="C20" s="35"/>
      <c r="D20" s="35">
        <f t="shared" si="0"/>
        <v>1000</v>
      </c>
      <c r="G20" s="78"/>
      <c r="H20" s="78"/>
    </row>
    <row r="21" spans="1:8" ht="21" x14ac:dyDescent="0.35">
      <c r="A21" s="184" t="s">
        <v>587</v>
      </c>
      <c r="B21" s="35"/>
      <c r="C21" s="35">
        <v>7000</v>
      </c>
      <c r="D21" s="35">
        <f t="shared" si="0"/>
        <v>7000</v>
      </c>
      <c r="G21" s="78"/>
      <c r="H21" s="78"/>
    </row>
    <row r="22" spans="1:8" ht="21" x14ac:dyDescent="0.35">
      <c r="A22" s="184" t="s">
        <v>590</v>
      </c>
      <c r="B22" s="35"/>
      <c r="C22" s="35">
        <f>28000+30000</f>
        <v>58000</v>
      </c>
      <c r="D22" s="35">
        <f t="shared" si="0"/>
        <v>58000</v>
      </c>
      <c r="G22" s="78"/>
      <c r="H22" s="78"/>
    </row>
    <row r="23" spans="1:8" ht="21.75" thickBot="1" x14ac:dyDescent="0.4">
      <c r="A23" s="184" t="s">
        <v>552</v>
      </c>
      <c r="B23" s="35">
        <v>19000</v>
      </c>
      <c r="C23" s="35"/>
      <c r="D23" s="35">
        <f t="shared" si="0"/>
        <v>19000</v>
      </c>
      <c r="G23" s="78"/>
      <c r="H23" s="78"/>
    </row>
    <row r="24" spans="1:8" ht="21.75" thickBot="1" x14ac:dyDescent="0.4">
      <c r="A24" s="197" t="s">
        <v>531</v>
      </c>
      <c r="B24" s="58">
        <f>SUM(B7:B23)</f>
        <v>936977</v>
      </c>
      <c r="C24" s="58">
        <f t="shared" ref="C24:D24" si="1">SUM(C7:C23)</f>
        <v>80519</v>
      </c>
      <c r="D24" s="58">
        <f t="shared" si="1"/>
        <v>1017496</v>
      </c>
      <c r="G24" s="78"/>
      <c r="H24" s="78"/>
    </row>
    <row r="25" spans="1:8" x14ac:dyDescent="0.25">
      <c r="G25" s="78"/>
      <c r="H25" s="78"/>
    </row>
    <row r="26" spans="1:8" x14ac:dyDescent="0.25">
      <c r="A26" s="81" t="s">
        <v>72</v>
      </c>
      <c r="B26" s="81"/>
      <c r="C26" s="81"/>
      <c r="D26" s="176"/>
      <c r="G26" s="78"/>
      <c r="H26" s="78"/>
    </row>
    <row r="27" spans="1:8" x14ac:dyDescent="0.25">
      <c r="A27" s="81" t="s">
        <v>73</v>
      </c>
      <c r="B27" s="81"/>
      <c r="C27" s="81"/>
      <c r="D27" s="81"/>
      <c r="G27" s="78"/>
    </row>
    <row r="29" spans="1:8" x14ac:dyDescent="0.25">
      <c r="D29" s="78"/>
    </row>
    <row r="30" spans="1:8" x14ac:dyDescent="0.25">
      <c r="D30" s="78"/>
    </row>
    <row r="31" spans="1:8" x14ac:dyDescent="0.25">
      <c r="D31" s="78"/>
    </row>
    <row r="32" spans="1:8" x14ac:dyDescent="0.25">
      <c r="D32" s="78"/>
    </row>
    <row r="33" spans="4:4" x14ac:dyDescent="0.25">
      <c r="D33" s="169"/>
    </row>
    <row r="34" spans="4:4" x14ac:dyDescent="0.25">
      <c r="D34" s="78"/>
    </row>
    <row r="35" spans="4:4" x14ac:dyDescent="0.25">
      <c r="D35" s="78"/>
    </row>
    <row r="36" spans="4:4" x14ac:dyDescent="0.25">
      <c r="D36" s="78"/>
    </row>
    <row r="37" spans="4:4" x14ac:dyDescent="0.25">
      <c r="D37" s="78"/>
    </row>
    <row r="40" spans="4:4" x14ac:dyDescent="0.25">
      <c r="D40" s="78"/>
    </row>
    <row r="44" spans="4:4" x14ac:dyDescent="0.25">
      <c r="D44" s="597"/>
    </row>
  </sheetData>
  <mergeCells count="1">
    <mergeCell ref="A2:D2"/>
  </mergeCells>
  <printOptions horizontalCentered="1" verticalCentered="1"/>
  <pageMargins left="0.59055118110236227" right="0.59055118110236227" top="0" bottom="0" header="0.51181102362204722" footer="0.51181102362204722"/>
  <pageSetup paperSize="9" scale="60" orientation="portrait" r:id="rId1"/>
  <headerFooter alignWithMargins="0">
    <oddHeader xml:space="preserve">&amp;R&amp;"-,Félkövér"&amp;12 14. melléklet a 15/2025. (V.30.) önkormányzati rendelethez
"14. melléklet a 4/2025. (II.28) önkormányzati rendelethez"
&amp;"Times New Roman CE,Félkövér"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8"/>
  <dimension ref="A1:M30"/>
  <sheetViews>
    <sheetView zoomScale="87" zoomScaleNormal="87" workbookViewId="0">
      <selection activeCell="E4" sqref="E1:E1048576"/>
    </sheetView>
  </sheetViews>
  <sheetFormatPr defaultRowHeight="23.25" x14ac:dyDescent="0.35"/>
  <cols>
    <col min="1" max="1" width="141.33203125" style="77" bestFit="1" customWidth="1"/>
    <col min="2" max="2" width="38.83203125" style="77" customWidth="1"/>
    <col min="3" max="4" width="39.1640625" style="77" customWidth="1"/>
    <col min="5" max="5" width="9.33203125" style="77"/>
    <col min="6" max="6" width="14.83203125" style="77" customWidth="1"/>
    <col min="7" max="12" width="9.33203125" style="77"/>
    <col min="13" max="13" width="38" style="281" customWidth="1"/>
    <col min="14" max="16384" width="9.33203125" style="77"/>
  </cols>
  <sheetData>
    <row r="1" spans="1:8" x14ac:dyDescent="0.35">
      <c r="A1" s="75"/>
      <c r="B1" s="75"/>
      <c r="C1" s="75"/>
      <c r="D1" s="75"/>
    </row>
    <row r="2" spans="1:8" x14ac:dyDescent="0.35">
      <c r="A2" s="955" t="s">
        <v>90</v>
      </c>
      <c r="B2" s="955"/>
      <c r="C2" s="955"/>
      <c r="D2" s="955"/>
    </row>
    <row r="3" spans="1:8" x14ac:dyDescent="0.35">
      <c r="B3" s="75"/>
      <c r="C3" s="75"/>
      <c r="D3" s="75"/>
    </row>
    <row r="4" spans="1:8" ht="24" thickBot="1" x14ac:dyDescent="0.4">
      <c r="A4" s="79"/>
      <c r="D4" s="282" t="s">
        <v>206</v>
      </c>
    </row>
    <row r="5" spans="1:8" x14ac:dyDescent="0.35">
      <c r="A5" s="170" t="s">
        <v>158</v>
      </c>
      <c r="B5" s="19" t="s">
        <v>564</v>
      </c>
      <c r="C5" s="19" t="s">
        <v>560</v>
      </c>
      <c r="D5" s="19" t="s">
        <v>573</v>
      </c>
    </row>
    <row r="6" spans="1:8" ht="24" thickBot="1" x14ac:dyDescent="0.4">
      <c r="A6" s="171"/>
      <c r="B6" s="88" t="s">
        <v>352</v>
      </c>
      <c r="C6" s="88" t="s">
        <v>561</v>
      </c>
      <c r="D6" s="88" t="s">
        <v>352</v>
      </c>
    </row>
    <row r="7" spans="1:8" x14ac:dyDescent="0.35">
      <c r="A7" s="283" t="s">
        <v>355</v>
      </c>
      <c r="B7" s="284">
        <v>300000</v>
      </c>
      <c r="C7" s="284">
        <v>74871</v>
      </c>
      <c r="D7" s="284">
        <f>SUM(B7:C7)</f>
        <v>374871</v>
      </c>
      <c r="F7" s="78"/>
      <c r="H7" s="78"/>
    </row>
    <row r="8" spans="1:8" x14ac:dyDescent="0.35">
      <c r="A8" s="285" t="s">
        <v>530</v>
      </c>
      <c r="B8" s="284">
        <v>500000</v>
      </c>
      <c r="C8" s="284">
        <v>81015</v>
      </c>
      <c r="D8" s="284">
        <f t="shared" ref="D8:D11" si="0">SUM(B8:C8)</f>
        <v>581015</v>
      </c>
      <c r="F8" s="78"/>
      <c r="H8" s="78"/>
    </row>
    <row r="9" spans="1:8" x14ac:dyDescent="0.35">
      <c r="A9" s="285" t="s">
        <v>304</v>
      </c>
      <c r="B9" s="284">
        <v>5000</v>
      </c>
      <c r="C9" s="284">
        <v>2985</v>
      </c>
      <c r="D9" s="284">
        <f t="shared" si="0"/>
        <v>7985</v>
      </c>
      <c r="F9" s="78"/>
      <c r="H9" s="78"/>
    </row>
    <row r="10" spans="1:8" x14ac:dyDescent="0.35">
      <c r="A10" s="285" t="s">
        <v>74</v>
      </c>
      <c r="B10" s="284"/>
      <c r="C10" s="284">
        <v>3933</v>
      </c>
      <c r="D10" s="284">
        <f t="shared" si="0"/>
        <v>3933</v>
      </c>
      <c r="F10" s="78"/>
      <c r="H10" s="78"/>
    </row>
    <row r="11" spans="1:8" x14ac:dyDescent="0.35">
      <c r="A11" s="287" t="s">
        <v>391</v>
      </c>
      <c r="B11" s="284">
        <v>550000</v>
      </c>
      <c r="C11" s="284">
        <v>41662</v>
      </c>
      <c r="D11" s="284">
        <f t="shared" si="0"/>
        <v>591662</v>
      </c>
      <c r="F11" s="78"/>
      <c r="H11" s="78"/>
    </row>
    <row r="12" spans="1:8" x14ac:dyDescent="0.35">
      <c r="A12" s="553" t="s">
        <v>459</v>
      </c>
      <c r="B12" s="105">
        <v>11000</v>
      </c>
      <c r="C12" s="105"/>
      <c r="D12" s="105">
        <f>SUM(B12:C12)</f>
        <v>11000</v>
      </c>
      <c r="F12" s="78"/>
      <c r="H12" s="78"/>
    </row>
    <row r="13" spans="1:8" x14ac:dyDescent="0.35">
      <c r="A13" s="287" t="s">
        <v>368</v>
      </c>
      <c r="B13" s="284">
        <v>1200</v>
      </c>
      <c r="C13" s="284"/>
      <c r="D13" s="284">
        <f>SUM(B13:C13)</f>
        <v>1200</v>
      </c>
      <c r="F13" s="78"/>
      <c r="H13" s="78"/>
    </row>
    <row r="14" spans="1:8" x14ac:dyDescent="0.35">
      <c r="A14" s="287" t="s">
        <v>83</v>
      </c>
      <c r="B14" s="284">
        <v>2600</v>
      </c>
      <c r="C14" s="284">
        <v>4536</v>
      </c>
      <c r="D14" s="284">
        <f t="shared" ref="D14:D18" si="1">SUM(B14:C14)</f>
        <v>7136</v>
      </c>
      <c r="F14" s="78"/>
      <c r="H14" s="78"/>
    </row>
    <row r="15" spans="1:8" x14ac:dyDescent="0.35">
      <c r="A15" s="287" t="s">
        <v>114</v>
      </c>
      <c r="B15" s="284">
        <v>3000</v>
      </c>
      <c r="C15" s="284">
        <v>2860</v>
      </c>
      <c r="D15" s="284">
        <f t="shared" si="1"/>
        <v>5860</v>
      </c>
      <c r="F15" s="78"/>
      <c r="H15" s="78"/>
    </row>
    <row r="16" spans="1:8" x14ac:dyDescent="0.35">
      <c r="A16" s="287" t="s">
        <v>344</v>
      </c>
      <c r="B16" s="284">
        <v>6500</v>
      </c>
      <c r="C16" s="284">
        <v>937</v>
      </c>
      <c r="D16" s="284">
        <f t="shared" si="1"/>
        <v>7437</v>
      </c>
      <c r="F16" s="78"/>
      <c r="H16" s="78"/>
    </row>
    <row r="17" spans="1:8" x14ac:dyDescent="0.35">
      <c r="A17" s="287" t="s">
        <v>186</v>
      </c>
      <c r="B17" s="284">
        <v>4000</v>
      </c>
      <c r="C17" s="284"/>
      <c r="D17" s="284">
        <f t="shared" si="1"/>
        <v>4000</v>
      </c>
      <c r="F17" s="78"/>
      <c r="H17" s="78"/>
    </row>
    <row r="18" spans="1:8" x14ac:dyDescent="0.35">
      <c r="A18" s="287" t="s">
        <v>43</v>
      </c>
      <c r="B18" s="284">
        <v>66000</v>
      </c>
      <c r="C18" s="284">
        <v>12654</v>
      </c>
      <c r="D18" s="284">
        <f t="shared" si="1"/>
        <v>78654</v>
      </c>
      <c r="F18" s="78"/>
      <c r="H18" s="78"/>
    </row>
    <row r="19" spans="1:8" ht="49.5" customHeight="1" thickBot="1" x14ac:dyDescent="0.4">
      <c r="A19" s="286" t="s">
        <v>501</v>
      </c>
      <c r="B19" s="105">
        <v>28632</v>
      </c>
      <c r="C19" s="105"/>
      <c r="D19" s="105">
        <f>SUM(B19:C19)</f>
        <v>28632</v>
      </c>
      <c r="F19" s="78"/>
      <c r="H19" s="78"/>
    </row>
    <row r="20" spans="1:8" ht="24" thickBot="1" x14ac:dyDescent="0.4">
      <c r="A20" s="288" t="s">
        <v>91</v>
      </c>
      <c r="B20" s="611">
        <f>SUM(B7:B19)</f>
        <v>1477932</v>
      </c>
      <c r="C20" s="611">
        <f t="shared" ref="C20:D20" si="2">SUM(C7:C19)</f>
        <v>225453</v>
      </c>
      <c r="D20" s="611">
        <f t="shared" si="2"/>
        <v>1703385</v>
      </c>
      <c r="F20" s="78"/>
      <c r="H20" s="78"/>
    </row>
    <row r="21" spans="1:8" x14ac:dyDescent="0.35">
      <c r="A21" s="29" t="s">
        <v>92</v>
      </c>
      <c r="B21" s="289">
        <v>1000</v>
      </c>
      <c r="C21" s="289">
        <v>460</v>
      </c>
      <c r="D21" s="289">
        <f>SUM(B21:C21)</f>
        <v>1460</v>
      </c>
      <c r="F21" s="78"/>
      <c r="H21" s="78"/>
    </row>
    <row r="22" spans="1:8" x14ac:dyDescent="0.35">
      <c r="A22" s="286" t="s">
        <v>460</v>
      </c>
      <c r="B22" s="110">
        <v>5000</v>
      </c>
      <c r="C22" s="105">
        <f>3497+1500</f>
        <v>4997</v>
      </c>
      <c r="D22" s="105">
        <f t="shared" ref="D22:D24" si="3">SUM(B22:C22)</f>
        <v>9997</v>
      </c>
      <c r="F22" s="78"/>
      <c r="H22" s="78"/>
    </row>
    <row r="23" spans="1:8" x14ac:dyDescent="0.35">
      <c r="A23" s="286" t="s">
        <v>255</v>
      </c>
      <c r="B23" s="145">
        <v>1900</v>
      </c>
      <c r="C23" s="105"/>
      <c r="D23" s="105">
        <f t="shared" si="3"/>
        <v>1900</v>
      </c>
      <c r="F23" s="78"/>
      <c r="H23" s="78"/>
    </row>
    <row r="24" spans="1:8" ht="24" thickBot="1" x14ac:dyDescent="0.4">
      <c r="A24" s="609" t="s">
        <v>502</v>
      </c>
      <c r="B24" s="145"/>
      <c r="C24" s="608">
        <v>2915</v>
      </c>
      <c r="D24" s="608">
        <f t="shared" si="3"/>
        <v>2915</v>
      </c>
      <c r="F24" s="78"/>
      <c r="H24" s="78"/>
    </row>
    <row r="25" spans="1:8" ht="24" thickBot="1" x14ac:dyDescent="0.4">
      <c r="A25" s="65" t="s">
        <v>580</v>
      </c>
      <c r="B25" s="610">
        <f>SUM(B21:B24)</f>
        <v>7900</v>
      </c>
      <c r="C25" s="610">
        <f t="shared" ref="C25:D25" si="4">SUM(C21:C24)</f>
        <v>8372</v>
      </c>
      <c r="D25" s="610">
        <f t="shared" si="4"/>
        <v>16272</v>
      </c>
      <c r="F25" s="78"/>
      <c r="H25" s="78"/>
    </row>
    <row r="26" spans="1:8" ht="24" thickBot="1" x14ac:dyDescent="0.4">
      <c r="A26" s="234" t="s">
        <v>295</v>
      </c>
      <c r="B26" s="124">
        <f>B20+B25</f>
        <v>1485832</v>
      </c>
      <c r="C26" s="124">
        <f t="shared" ref="C26:D26" si="5">C20+C25</f>
        <v>233825</v>
      </c>
      <c r="D26" s="124">
        <f t="shared" si="5"/>
        <v>1719657</v>
      </c>
      <c r="F26" s="78"/>
      <c r="H26" s="78"/>
    </row>
    <row r="27" spans="1:8" x14ac:dyDescent="0.35">
      <c r="H27" s="78"/>
    </row>
    <row r="29" spans="1:8" x14ac:dyDescent="0.35">
      <c r="A29" s="81" t="s">
        <v>72</v>
      </c>
      <c r="D29" s="290"/>
    </row>
    <row r="30" spans="1:8" x14ac:dyDescent="0.35">
      <c r="A30" s="81" t="s">
        <v>73</v>
      </c>
    </row>
  </sheetData>
  <customSheetViews>
    <customSheetView guid="{6D4B996F-8915-4E78-98C2-E7EAE9C4580C}" scale="75" showRuler="0" topLeftCell="A4">
      <selection activeCell="F26" sqref="F26"/>
      <pageMargins left="0.59055118110236227" right="0" top="0.59055118110236227" bottom="0.59055118110236227" header="0.31496062992125984" footer="0.31496062992125984"/>
      <printOptions horizontalCentered="1" verticalCentered="1"/>
      <pageSetup paperSize="9" scale="66" orientation="portrait" horizontalDpi="300" verticalDpi="300" r:id="rId1"/>
      <headerFooter alignWithMargins="0">
        <oddHeader>&amp;L&amp;F   &amp;A&amp;R&amp;"Times New Roman CE,Félkövér"&amp;16M.III/11.sz.melléklet</oddHeader>
      </headerFooter>
    </customSheetView>
    <customSheetView guid="{186732C5-520C-4E06-B066-B4F3F0A3E322}" scale="75" showRuler="0" topLeftCell="A4">
      <selection activeCell="F26" sqref="F26"/>
      <pageMargins left="0.59055118110236227" right="0" top="0.59055118110236227" bottom="0.59055118110236227" header="0.31496062992125984" footer="0.31496062992125984"/>
      <printOptions horizontalCentered="1" verticalCentered="1"/>
      <pageSetup paperSize="9" scale="66" orientation="portrait" horizontalDpi="300" verticalDpi="300" r:id="rId2"/>
      <headerFooter alignWithMargins="0">
        <oddHeader>&amp;L&amp;F   &amp;A&amp;R&amp;"Times New Roman CE,Félkövér"&amp;16M.III/11.sz.melléklet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48" orientation="portrait" r:id="rId3"/>
  <headerFooter alignWithMargins="0">
    <oddHeader xml:space="preserve">&amp;R&amp;"Times New Roman CE,Félkövér"&amp;12 
&amp;"-,Félkövér"15. melléklet a 15/2025. (V.30.) önkormányzati rendelethez
"15. melléklet a 4/2025. (II.28) önkormányzati rendelethez"&amp;"Times New Roman CE,Félkövér"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19"/>
  <dimension ref="A1:I36"/>
  <sheetViews>
    <sheetView zoomScale="87" zoomScaleNormal="87" workbookViewId="0">
      <selection activeCell="E1" sqref="E1:E1048576"/>
    </sheetView>
  </sheetViews>
  <sheetFormatPr defaultColWidth="12" defaultRowHeight="15.75" x14ac:dyDescent="0.25"/>
  <cols>
    <col min="1" max="1" width="90" style="77" customWidth="1"/>
    <col min="2" max="2" width="34" style="77" customWidth="1"/>
    <col min="3" max="3" width="39.1640625" style="77" customWidth="1"/>
    <col min="4" max="4" width="38.33203125" style="77" bestFit="1" customWidth="1"/>
    <col min="5" max="5" width="12" style="77"/>
    <col min="6" max="6" width="16.33203125" style="77" customWidth="1"/>
    <col min="7" max="16384" width="12" style="77"/>
  </cols>
  <sheetData>
    <row r="1" spans="1:9" x14ac:dyDescent="0.25">
      <c r="A1" s="75"/>
      <c r="B1" s="75"/>
      <c r="C1" s="75"/>
      <c r="D1" s="75"/>
    </row>
    <row r="2" spans="1:9" ht="21" x14ac:dyDescent="0.35">
      <c r="A2" s="955" t="s">
        <v>103</v>
      </c>
      <c r="B2" s="955"/>
      <c r="C2" s="955"/>
      <c r="D2" s="955"/>
    </row>
    <row r="3" spans="1:9" x14ac:dyDescent="0.25">
      <c r="A3" s="75"/>
      <c r="B3" s="75"/>
      <c r="C3" s="75"/>
      <c r="D3" s="75"/>
    </row>
    <row r="4" spans="1:9" ht="19.5" thickBot="1" x14ac:dyDescent="0.35">
      <c r="A4" s="80"/>
      <c r="B4" s="81"/>
      <c r="C4" s="81"/>
      <c r="D4" s="16" t="s">
        <v>206</v>
      </c>
    </row>
    <row r="5" spans="1:9" s="203" customFormat="1" x14ac:dyDescent="0.25">
      <c r="A5" s="291" t="s">
        <v>158</v>
      </c>
      <c r="B5" s="19" t="s">
        <v>564</v>
      </c>
      <c r="C5" s="19" t="s">
        <v>560</v>
      </c>
      <c r="D5" s="19" t="s">
        <v>573</v>
      </c>
    </row>
    <row r="6" spans="1:9" s="203" customFormat="1" ht="16.5" thickBot="1" x14ac:dyDescent="0.3">
      <c r="A6" s="292"/>
      <c r="B6" s="88" t="s">
        <v>352</v>
      </c>
      <c r="C6" s="88" t="s">
        <v>561</v>
      </c>
      <c r="D6" s="88" t="s">
        <v>352</v>
      </c>
    </row>
    <row r="7" spans="1:9" ht="21" x14ac:dyDescent="0.35">
      <c r="A7" s="293" t="s">
        <v>75</v>
      </c>
      <c r="B7" s="580">
        <v>40000</v>
      </c>
      <c r="C7" s="284">
        <v>-20000</v>
      </c>
      <c r="D7" s="580">
        <f>SUM(B7:C7)</f>
        <v>20000</v>
      </c>
      <c r="F7" s="78"/>
      <c r="I7" s="78"/>
    </row>
    <row r="8" spans="1:9" ht="21" x14ac:dyDescent="0.35">
      <c r="A8" s="296" t="s">
        <v>181</v>
      </c>
      <c r="B8" s="295">
        <v>15000</v>
      </c>
      <c r="C8" s="294"/>
      <c r="D8" s="580">
        <f t="shared" ref="D8:D27" si="0">SUM(B8:C8)</f>
        <v>15000</v>
      </c>
      <c r="F8" s="78"/>
      <c r="I8" s="78"/>
    </row>
    <row r="9" spans="1:9" ht="21" x14ac:dyDescent="0.35">
      <c r="A9" s="296" t="s">
        <v>1</v>
      </c>
      <c r="B9" s="295">
        <v>5000</v>
      </c>
      <c r="C9" s="294">
        <v>-5000</v>
      </c>
      <c r="D9" s="580">
        <f t="shared" si="0"/>
        <v>0</v>
      </c>
      <c r="F9" s="78"/>
      <c r="I9" s="78"/>
    </row>
    <row r="10" spans="1:9" ht="21" x14ac:dyDescent="0.35">
      <c r="A10" s="296" t="s">
        <v>334</v>
      </c>
      <c r="B10" s="295">
        <v>100000</v>
      </c>
      <c r="C10" s="294">
        <v>73368</v>
      </c>
      <c r="D10" s="580">
        <f t="shared" si="0"/>
        <v>173368</v>
      </c>
      <c r="F10" s="78"/>
      <c r="I10" s="78"/>
    </row>
    <row r="11" spans="1:9" ht="21" x14ac:dyDescent="0.35">
      <c r="A11" s="296" t="s">
        <v>299</v>
      </c>
      <c r="B11" s="295">
        <v>20000</v>
      </c>
      <c r="C11" s="294">
        <f>12147-10000</f>
        <v>2147</v>
      </c>
      <c r="D11" s="580">
        <f t="shared" si="0"/>
        <v>22147</v>
      </c>
      <c r="F11" s="78"/>
      <c r="I11" s="78"/>
    </row>
    <row r="12" spans="1:9" ht="21" x14ac:dyDescent="0.35">
      <c r="A12" s="297" t="s">
        <v>371</v>
      </c>
      <c r="B12" s="295">
        <v>6000</v>
      </c>
      <c r="C12" s="294">
        <v>16129</v>
      </c>
      <c r="D12" s="580">
        <f t="shared" si="0"/>
        <v>22129</v>
      </c>
      <c r="F12" s="78"/>
      <c r="I12" s="78"/>
    </row>
    <row r="13" spans="1:9" ht="21" x14ac:dyDescent="0.35">
      <c r="A13" s="230" t="s">
        <v>372</v>
      </c>
      <c r="B13" s="295">
        <v>5000</v>
      </c>
      <c r="C13" s="294"/>
      <c r="D13" s="580">
        <f t="shared" si="0"/>
        <v>5000</v>
      </c>
      <c r="F13" s="78"/>
      <c r="I13" s="78"/>
    </row>
    <row r="14" spans="1:9" ht="21" x14ac:dyDescent="0.35">
      <c r="A14" s="296" t="s">
        <v>44</v>
      </c>
      <c r="B14" s="295">
        <v>800</v>
      </c>
      <c r="C14" s="294">
        <v>1975</v>
      </c>
      <c r="D14" s="580">
        <f t="shared" si="0"/>
        <v>2775</v>
      </c>
      <c r="F14" s="78"/>
      <c r="I14" s="78"/>
    </row>
    <row r="15" spans="1:9" ht="21" x14ac:dyDescent="0.35">
      <c r="A15" s="296" t="s">
        <v>2</v>
      </c>
      <c r="B15" s="295">
        <v>6000</v>
      </c>
      <c r="C15" s="294">
        <v>4397</v>
      </c>
      <c r="D15" s="580">
        <f t="shared" si="0"/>
        <v>10397</v>
      </c>
      <c r="F15" s="78"/>
      <c r="I15" s="78"/>
    </row>
    <row r="16" spans="1:9" ht="21" x14ac:dyDescent="0.35">
      <c r="A16" s="296" t="s">
        <v>96</v>
      </c>
      <c r="B16" s="295">
        <v>0</v>
      </c>
      <c r="C16" s="294">
        <v>6783</v>
      </c>
      <c r="D16" s="580">
        <f t="shared" si="0"/>
        <v>6783</v>
      </c>
      <c r="F16" s="78"/>
      <c r="I16" s="78"/>
    </row>
    <row r="17" spans="1:9" ht="21" x14ac:dyDescent="0.35">
      <c r="A17" s="296" t="s">
        <v>182</v>
      </c>
      <c r="B17" s="295">
        <v>0</v>
      </c>
      <c r="C17" s="294">
        <v>104814</v>
      </c>
      <c r="D17" s="580">
        <f t="shared" si="0"/>
        <v>104814</v>
      </c>
      <c r="F17" s="78"/>
      <c r="I17" s="78"/>
    </row>
    <row r="18" spans="1:9" ht="21" x14ac:dyDescent="0.35">
      <c r="A18" s="296" t="s">
        <v>461</v>
      </c>
      <c r="B18" s="295">
        <v>35000</v>
      </c>
      <c r="C18" s="294">
        <v>11036</v>
      </c>
      <c r="D18" s="580">
        <f t="shared" si="0"/>
        <v>46036</v>
      </c>
      <c r="F18" s="78"/>
      <c r="I18" s="78"/>
    </row>
    <row r="19" spans="1:9" ht="21" x14ac:dyDescent="0.35">
      <c r="A19" s="296" t="s">
        <v>87</v>
      </c>
      <c r="B19" s="295">
        <v>21000</v>
      </c>
      <c r="C19" s="294"/>
      <c r="D19" s="580">
        <f t="shared" si="0"/>
        <v>21000</v>
      </c>
      <c r="F19" s="78"/>
      <c r="I19" s="78"/>
    </row>
    <row r="20" spans="1:9" ht="33" x14ac:dyDescent="0.35">
      <c r="A20" s="298" t="s">
        <v>395</v>
      </c>
      <c r="B20" s="295">
        <v>6000</v>
      </c>
      <c r="C20" s="294">
        <v>1954</v>
      </c>
      <c r="D20" s="580">
        <f t="shared" si="0"/>
        <v>7954</v>
      </c>
      <c r="F20" s="78"/>
      <c r="I20" s="78"/>
    </row>
    <row r="21" spans="1:9" ht="21" x14ac:dyDescent="0.35">
      <c r="A21" s="296" t="s">
        <v>462</v>
      </c>
      <c r="B21" s="295">
        <v>4000</v>
      </c>
      <c r="C21" s="294">
        <v>14144</v>
      </c>
      <c r="D21" s="580">
        <f t="shared" si="0"/>
        <v>18144</v>
      </c>
      <c r="F21" s="78"/>
      <c r="I21" s="78"/>
    </row>
    <row r="22" spans="1:9" ht="33" x14ac:dyDescent="0.35">
      <c r="A22" s="230" t="s">
        <v>300</v>
      </c>
      <c r="B22" s="295">
        <v>3000</v>
      </c>
      <c r="C22" s="294">
        <v>6151</v>
      </c>
      <c r="D22" s="580">
        <f t="shared" si="0"/>
        <v>9151</v>
      </c>
      <c r="F22" s="78"/>
      <c r="I22" s="78"/>
    </row>
    <row r="23" spans="1:9" ht="21" x14ac:dyDescent="0.35">
      <c r="A23" s="157" t="s">
        <v>88</v>
      </c>
      <c r="B23" s="295">
        <v>0</v>
      </c>
      <c r="C23" s="294">
        <v>36158</v>
      </c>
      <c r="D23" s="580">
        <f t="shared" si="0"/>
        <v>36158</v>
      </c>
      <c r="F23" s="78"/>
      <c r="I23" s="78"/>
    </row>
    <row r="24" spans="1:9" ht="21" x14ac:dyDescent="0.35">
      <c r="A24" s="157" t="s">
        <v>447</v>
      </c>
      <c r="B24" s="295">
        <v>10000</v>
      </c>
      <c r="C24" s="294"/>
      <c r="D24" s="580">
        <f t="shared" si="0"/>
        <v>10000</v>
      </c>
      <c r="F24" s="78"/>
      <c r="I24" s="78"/>
    </row>
    <row r="25" spans="1:9" ht="21" x14ac:dyDescent="0.35">
      <c r="A25" s="296" t="s">
        <v>220</v>
      </c>
      <c r="B25" s="295">
        <v>1500</v>
      </c>
      <c r="C25" s="294">
        <v>1587</v>
      </c>
      <c r="D25" s="580">
        <f t="shared" si="0"/>
        <v>3087</v>
      </c>
      <c r="F25" s="78"/>
      <c r="I25" s="78"/>
    </row>
    <row r="26" spans="1:9" ht="21" x14ac:dyDescent="0.35">
      <c r="A26" s="298" t="s">
        <v>436</v>
      </c>
      <c r="B26" s="295">
        <v>10000</v>
      </c>
      <c r="C26" s="294">
        <v>21029</v>
      </c>
      <c r="D26" s="580">
        <f t="shared" si="0"/>
        <v>31029</v>
      </c>
      <c r="F26" s="78"/>
      <c r="I26" s="78"/>
    </row>
    <row r="27" spans="1:9" ht="21.75" thickBot="1" x14ac:dyDescent="0.4">
      <c r="A27" s="603" t="s">
        <v>555</v>
      </c>
      <c r="B27" s="300">
        <v>79000</v>
      </c>
      <c r="C27" s="299">
        <v>35000</v>
      </c>
      <c r="D27" s="580">
        <f t="shared" si="0"/>
        <v>114000</v>
      </c>
      <c r="F27" s="78"/>
      <c r="I27" s="78"/>
    </row>
    <row r="28" spans="1:9" ht="21.75" thickBot="1" x14ac:dyDescent="0.4">
      <c r="A28" s="301" t="s">
        <v>296</v>
      </c>
      <c r="B28" s="58">
        <f>SUM(B7:B27)</f>
        <v>367300</v>
      </c>
      <c r="C28" s="58">
        <f>SUM(C7:C27)</f>
        <v>311672</v>
      </c>
      <c r="D28" s="58">
        <f>SUM(D7:D27)</f>
        <v>678972</v>
      </c>
      <c r="F28" s="78"/>
      <c r="I28" s="78"/>
    </row>
    <row r="31" spans="1:9" ht="18.75" x14ac:dyDescent="0.3">
      <c r="A31" s="81" t="s">
        <v>72</v>
      </c>
      <c r="B31" s="81"/>
      <c r="C31" s="81"/>
      <c r="D31" s="302"/>
    </row>
    <row r="32" spans="1:9" x14ac:dyDescent="0.25">
      <c r="A32" s="81" t="s">
        <v>73</v>
      </c>
      <c r="B32" s="81"/>
      <c r="C32" s="81"/>
      <c r="D32" s="81"/>
    </row>
    <row r="36" spans="2:2" x14ac:dyDescent="0.25">
      <c r="B36" s="207"/>
    </row>
  </sheetData>
  <customSheetViews>
    <customSheetView guid="{6D4B996F-8915-4E78-98C2-E7EAE9C4580C}" scale="75" showRuler="0">
      <selection activeCell="H24" sqref="H24"/>
      <pageMargins left="0.19685039370078741" right="0.19685039370078741" top="0.19685039370078741" bottom="0.19685039370078741" header="0.11811023622047245" footer="0.11811023622047245"/>
      <printOptions horizontalCentered="1" verticalCentered="1"/>
      <pageSetup paperSize="9" scale="78" orientation="portrait" horizontalDpi="300" verticalDpi="300" r:id="rId1"/>
      <headerFooter alignWithMargins="0">
        <oddHeader>&amp;L&amp;F   &amp;A&amp;R&amp;"Times New Roman CE,Félkövér"&amp;16 M.III.12.sz.melléklet</oddHeader>
        <oddFooter xml:space="preserve">&amp;C </oddFooter>
      </headerFooter>
    </customSheetView>
    <customSheetView guid="{186732C5-520C-4E06-B066-B4F3F0A3E322}" scale="75" showRuler="0">
      <selection activeCell="H24" sqref="H24"/>
      <pageMargins left="0.19685039370078741" right="0.19685039370078741" top="0.19685039370078741" bottom="0.19685039370078741" header="0.11811023622047245" footer="0.11811023622047245"/>
      <printOptions horizontalCentered="1" verticalCentered="1"/>
      <pageSetup paperSize="9" scale="78" orientation="portrait" horizontalDpi="300" verticalDpi="300" r:id="rId2"/>
      <headerFooter alignWithMargins="0">
        <oddHeader>&amp;L&amp;F   &amp;A&amp;R&amp;"Times New Roman CE,Félkövér"&amp;16 M.III.12.sz.melléklet</oddHeader>
        <oddFooter xml:space="preserve">&amp;C </oddFoot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61" orientation="portrait" r:id="rId3"/>
  <headerFooter alignWithMargins="0">
    <oddHeader xml:space="preserve">&amp;R&amp;"-,Félkövér"&amp;12 16. melléklet a 15/2025. (V.30.) önkormányzati rendelethez
"16. melléklet a 4/2025. (II.28) önkormányzati rendelethez"&amp;"Times New Roman CE,Félkövér"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32"/>
  <dimension ref="A1:H30"/>
  <sheetViews>
    <sheetView zoomScaleNormal="100" workbookViewId="0">
      <selection activeCell="C18" sqref="C18"/>
    </sheetView>
  </sheetViews>
  <sheetFormatPr defaultColWidth="10.6640625" defaultRowHeight="15.75" x14ac:dyDescent="0.25"/>
  <cols>
    <col min="1" max="1" width="6" style="303" customWidth="1"/>
    <col min="2" max="2" width="133.5" style="303" customWidth="1"/>
    <col min="3" max="3" width="37.83203125" style="303" customWidth="1"/>
    <col min="4" max="4" width="39.1640625" style="303" customWidth="1"/>
    <col min="5" max="5" width="38.1640625" style="303" bestFit="1" customWidth="1"/>
    <col min="6" max="16384" width="10.6640625" style="303"/>
  </cols>
  <sheetData>
    <row r="1" spans="1:8" ht="18.75" x14ac:dyDescent="0.3">
      <c r="A1" s="963" t="s">
        <v>133</v>
      </c>
      <c r="B1" s="963"/>
      <c r="C1" s="963"/>
      <c r="D1" s="963"/>
      <c r="E1" s="963"/>
    </row>
    <row r="2" spans="1:8" ht="19.5" thickBot="1" x14ac:dyDescent="0.35">
      <c r="B2" s="304"/>
      <c r="C2" s="304"/>
      <c r="D2" s="304"/>
      <c r="E2" s="16" t="s">
        <v>206</v>
      </c>
    </row>
    <row r="3" spans="1:8" ht="18" customHeight="1" x14ac:dyDescent="0.25">
      <c r="A3" s="305"/>
      <c r="B3" s="306" t="s">
        <v>158</v>
      </c>
      <c r="C3" s="19" t="s">
        <v>564</v>
      </c>
      <c r="D3" s="19" t="s">
        <v>560</v>
      </c>
      <c r="E3" s="19" t="s">
        <v>573</v>
      </c>
    </row>
    <row r="4" spans="1:8" ht="33" customHeight="1" thickBot="1" x14ac:dyDescent="0.3">
      <c r="A4" s="307"/>
      <c r="B4" s="308"/>
      <c r="C4" s="88" t="s">
        <v>352</v>
      </c>
      <c r="D4" s="88" t="s">
        <v>561</v>
      </c>
      <c r="E4" s="88" t="s">
        <v>352</v>
      </c>
    </row>
    <row r="5" spans="1:8" x14ac:dyDescent="0.25">
      <c r="A5" s="309" t="s">
        <v>59</v>
      </c>
      <c r="B5" s="310"/>
      <c r="C5" s="311"/>
      <c r="D5" s="311"/>
      <c r="E5" s="311"/>
    </row>
    <row r="6" spans="1:8" ht="21" x14ac:dyDescent="0.35">
      <c r="A6" s="12"/>
      <c r="B6" s="614"/>
      <c r="C6" s="615"/>
      <c r="D6" s="615"/>
      <c r="E6" s="615"/>
    </row>
    <row r="7" spans="1:8" ht="21.75" thickBot="1" x14ac:dyDescent="0.4">
      <c r="A7" s="314"/>
      <c r="B7" s="612"/>
      <c r="C7" s="613"/>
      <c r="D7" s="613"/>
      <c r="E7" s="613"/>
      <c r="H7" s="640"/>
    </row>
    <row r="8" spans="1:8" ht="25.35" customHeight="1" thickBot="1" x14ac:dyDescent="0.4">
      <c r="A8" s="961" t="s">
        <v>63</v>
      </c>
      <c r="B8" s="962"/>
      <c r="C8" s="315">
        <f>SUM(C6:C7)</f>
        <v>0</v>
      </c>
      <c r="D8" s="315">
        <f t="shared" ref="D8:E8" si="0">SUM(D6:D7)</f>
        <v>0</v>
      </c>
      <c r="E8" s="315">
        <f t="shared" si="0"/>
        <v>0</v>
      </c>
      <c r="H8" s="640"/>
    </row>
    <row r="9" spans="1:8" x14ac:dyDescent="0.25">
      <c r="A9" s="309" t="s">
        <v>57</v>
      </c>
      <c r="B9" s="310"/>
      <c r="C9" s="311"/>
      <c r="D9" s="311"/>
      <c r="E9" s="311"/>
      <c r="H9" s="640"/>
    </row>
    <row r="10" spans="1:8" ht="21.75" thickBot="1" x14ac:dyDescent="0.4">
      <c r="A10" s="13"/>
      <c r="B10" s="316" t="s">
        <v>128</v>
      </c>
      <c r="C10" s="312">
        <v>1000000</v>
      </c>
      <c r="D10" s="313"/>
      <c r="E10" s="312">
        <f>SUM(C10:D10)</f>
        <v>1000000</v>
      </c>
      <c r="H10" s="640"/>
    </row>
    <row r="11" spans="1:8" ht="21.75" thickBot="1" x14ac:dyDescent="0.4">
      <c r="A11" s="317" t="s">
        <v>58</v>
      </c>
      <c r="B11" s="318"/>
      <c r="C11" s="46">
        <f>SUM(C10:C10)</f>
        <v>1000000</v>
      </c>
      <c r="D11" s="46">
        <f>SUM(D10:D10)</f>
        <v>0</v>
      </c>
      <c r="E11" s="46">
        <f>SUM(E10:E10)</f>
        <v>1000000</v>
      </c>
      <c r="H11" s="640"/>
    </row>
    <row r="12" spans="1:8" ht="16.5" customHeight="1" x14ac:dyDescent="0.25">
      <c r="A12" s="319" t="s">
        <v>64</v>
      </c>
      <c r="B12" s="320"/>
      <c r="C12" s="321"/>
      <c r="D12" s="321"/>
      <c r="E12" s="321"/>
      <c r="H12" s="640"/>
    </row>
    <row r="13" spans="1:8" ht="44.25" customHeight="1" x14ac:dyDescent="0.25">
      <c r="A13" s="322"/>
      <c r="B13" s="323" t="s">
        <v>29</v>
      </c>
      <c r="C13" s="324"/>
      <c r="D13" s="324"/>
      <c r="E13" s="324"/>
      <c r="H13" s="640"/>
    </row>
    <row r="14" spans="1:8" ht="21" x14ac:dyDescent="0.35">
      <c r="A14" s="13"/>
      <c r="B14" s="325" t="s">
        <v>130</v>
      </c>
      <c r="C14" s="312">
        <v>8000</v>
      </c>
      <c r="D14" s="312"/>
      <c r="E14" s="312">
        <f>SUM(C14:D14)</f>
        <v>8000</v>
      </c>
      <c r="H14" s="640"/>
    </row>
    <row r="15" spans="1:8" ht="21" x14ac:dyDescent="0.35">
      <c r="A15" s="322"/>
      <c r="B15" s="326" t="s">
        <v>30</v>
      </c>
      <c r="C15" s="327"/>
      <c r="D15" s="328"/>
      <c r="E15" s="327"/>
      <c r="H15" s="640"/>
    </row>
    <row r="16" spans="1:8" ht="43.5" customHeight="1" x14ac:dyDescent="0.35">
      <c r="A16" s="322"/>
      <c r="B16" s="624" t="s">
        <v>584</v>
      </c>
      <c r="C16" s="312"/>
      <c r="D16" s="312">
        <v>38449</v>
      </c>
      <c r="E16" s="312">
        <f t="shared" ref="E16:E17" si="1">SUM(C16:D16)</f>
        <v>38449</v>
      </c>
      <c r="H16" s="640"/>
    </row>
    <row r="17" spans="1:8" ht="21" x14ac:dyDescent="0.35">
      <c r="A17" s="13"/>
      <c r="B17" s="325" t="s">
        <v>417</v>
      </c>
      <c r="C17" s="312"/>
      <c r="D17" s="312">
        <v>92239</v>
      </c>
      <c r="E17" s="312">
        <f t="shared" si="1"/>
        <v>92239</v>
      </c>
      <c r="F17" s="77"/>
      <c r="H17" s="640"/>
    </row>
    <row r="18" spans="1:8" ht="21" x14ac:dyDescent="0.35">
      <c r="A18" s="959" t="s">
        <v>65</v>
      </c>
      <c r="B18" s="960"/>
      <c r="C18" s="329">
        <f>SUM(C14:C17)</f>
        <v>8000</v>
      </c>
      <c r="D18" s="329">
        <f t="shared" ref="D18:E18" si="2">SUM(D14:D17)</f>
        <v>130688</v>
      </c>
      <c r="E18" s="329">
        <f t="shared" si="2"/>
        <v>138688</v>
      </c>
      <c r="H18" s="640"/>
    </row>
    <row r="19" spans="1:8" x14ac:dyDescent="0.25">
      <c r="A19" s="199" t="s">
        <v>104</v>
      </c>
      <c r="B19" s="619"/>
      <c r="C19" s="330"/>
      <c r="D19" s="330"/>
      <c r="E19" s="330"/>
      <c r="H19" s="640"/>
    </row>
    <row r="20" spans="1:8" ht="21" x14ac:dyDescent="0.35">
      <c r="A20" s="322"/>
      <c r="B20" s="618" t="s">
        <v>358</v>
      </c>
      <c r="C20" s="616"/>
      <c r="D20" s="616">
        <v>35</v>
      </c>
      <c r="E20" s="312">
        <f>SUM(C20:D20)</f>
        <v>35</v>
      </c>
      <c r="H20" s="640"/>
    </row>
    <row r="21" spans="1:8" ht="21" x14ac:dyDescent="0.35">
      <c r="A21" s="322"/>
      <c r="B21" s="331" t="s">
        <v>569</v>
      </c>
      <c r="C21" s="332"/>
      <c r="D21" s="332"/>
      <c r="E21" s="312">
        <f t="shared" ref="E21:E26" si="3">SUM(C21:D21)</f>
        <v>0</v>
      </c>
      <c r="H21" s="640"/>
    </row>
    <row r="22" spans="1:8" ht="21" x14ac:dyDescent="0.35">
      <c r="A22" s="322"/>
      <c r="B22" s="331" t="s">
        <v>110</v>
      </c>
      <c r="C22" s="332"/>
      <c r="D22" s="332"/>
      <c r="E22" s="312">
        <f t="shared" si="3"/>
        <v>0</v>
      </c>
      <c r="H22" s="640"/>
    </row>
    <row r="23" spans="1:8" ht="21" x14ac:dyDescent="0.35">
      <c r="A23" s="322"/>
      <c r="B23" s="331" t="s">
        <v>246</v>
      </c>
      <c r="C23" s="332"/>
      <c r="D23" s="332"/>
      <c r="E23" s="312">
        <f t="shared" si="3"/>
        <v>0</v>
      </c>
      <c r="H23" s="640"/>
    </row>
    <row r="24" spans="1:8" ht="21" x14ac:dyDescent="0.35">
      <c r="A24" s="322"/>
      <c r="B24" s="331" t="s">
        <v>13</v>
      </c>
      <c r="C24" s="332"/>
      <c r="D24" s="332"/>
      <c r="E24" s="312">
        <f t="shared" si="3"/>
        <v>0</v>
      </c>
      <c r="H24" s="640"/>
    </row>
    <row r="25" spans="1:8" ht="21" x14ac:dyDescent="0.35">
      <c r="A25" s="322"/>
      <c r="B25" s="331" t="s">
        <v>143</v>
      </c>
      <c r="C25" s="332"/>
      <c r="D25" s="332"/>
      <c r="E25" s="312">
        <f t="shared" si="3"/>
        <v>0</v>
      </c>
      <c r="H25" s="640"/>
    </row>
    <row r="26" spans="1:8" ht="21" x14ac:dyDescent="0.35">
      <c r="A26" s="322"/>
      <c r="B26" s="331" t="s">
        <v>4</v>
      </c>
      <c r="C26" s="332"/>
      <c r="D26" s="332"/>
      <c r="E26" s="312">
        <f t="shared" si="3"/>
        <v>0</v>
      </c>
      <c r="H26" s="640"/>
    </row>
    <row r="27" spans="1:8" ht="21" x14ac:dyDescent="0.35">
      <c r="A27" s="959" t="s">
        <v>62</v>
      </c>
      <c r="B27" s="960"/>
      <c r="C27" s="333">
        <f>SUM(C20:C26)</f>
        <v>0</v>
      </c>
      <c r="D27" s="333">
        <f>SUM(D20:D26)</f>
        <v>35</v>
      </c>
      <c r="E27" s="333">
        <f>SUM(E20:E26)</f>
        <v>35</v>
      </c>
      <c r="H27" s="640"/>
    </row>
    <row r="28" spans="1:8" ht="21.75" thickBot="1" x14ac:dyDescent="0.4">
      <c r="A28" s="957" t="s">
        <v>297</v>
      </c>
      <c r="B28" s="958"/>
      <c r="C28" s="334">
        <f>C11+C8+C18+C27</f>
        <v>1008000</v>
      </c>
      <c r="D28" s="334">
        <f>D11+D8+D18+D27</f>
        <v>130723</v>
      </c>
      <c r="E28" s="334">
        <f>E11+E8+E18+E27</f>
        <v>1138723</v>
      </c>
      <c r="H28" s="640"/>
    </row>
    <row r="29" spans="1:8" x14ac:dyDescent="0.25">
      <c r="A29" s="335"/>
      <c r="B29" s="335"/>
      <c r="C29" s="335"/>
      <c r="D29" s="335"/>
      <c r="E29" s="335"/>
      <c r="H29" s="640"/>
    </row>
    <row r="30" spans="1:8" x14ac:dyDescent="0.25">
      <c r="H30" s="640"/>
    </row>
  </sheetData>
  <mergeCells count="5">
    <mergeCell ref="A28:B28"/>
    <mergeCell ref="A18:B18"/>
    <mergeCell ref="A8:B8"/>
    <mergeCell ref="A27:B27"/>
    <mergeCell ref="A1:E1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49" orientation="portrait" r:id="rId1"/>
  <headerFooter alignWithMargins="0">
    <oddHeader xml:space="preserve">&amp;R&amp;"-,Félkövér"&amp;12 17. melléklet a 15/2025. (V.30.) önkormányzati rendelethe&amp;"Times New Roman CE,Félkövér"z
"17. melléklet a 4/2025. (II.28) önkormányzati rendelethez"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21"/>
  <dimension ref="A1:J56"/>
  <sheetViews>
    <sheetView zoomScale="91" zoomScaleNormal="91" zoomScalePageLayoutView="55" workbookViewId="0">
      <selection activeCell="H8" sqref="H8"/>
    </sheetView>
  </sheetViews>
  <sheetFormatPr defaultColWidth="10.6640625" defaultRowHeight="15" customHeight="1" x14ac:dyDescent="0.3"/>
  <cols>
    <col min="1" max="1" width="5.6640625" style="56" customWidth="1"/>
    <col min="2" max="2" width="146.5" style="56" customWidth="1"/>
    <col min="3" max="3" width="33.1640625" style="56" customWidth="1"/>
    <col min="4" max="4" width="36" style="56" customWidth="1"/>
    <col min="5" max="5" width="33.1640625" style="56" customWidth="1"/>
    <col min="6" max="6" width="10.6640625" style="338"/>
    <col min="7" max="7" width="12.33203125" style="56" bestFit="1" customWidth="1"/>
    <col min="8" max="16384" width="10.6640625" style="56"/>
  </cols>
  <sheetData>
    <row r="1" spans="1:10" ht="15" customHeight="1" x14ac:dyDescent="0.3">
      <c r="A1" s="336"/>
      <c r="B1" s="336"/>
      <c r="C1" s="337"/>
      <c r="D1" s="337"/>
      <c r="E1" s="337"/>
    </row>
    <row r="2" spans="1:10" ht="23.25" customHeight="1" x14ac:dyDescent="0.35">
      <c r="A2" s="968" t="s">
        <v>160</v>
      </c>
      <c r="B2" s="968"/>
      <c r="C2" s="968"/>
      <c r="D2" s="968"/>
      <c r="E2" s="968"/>
    </row>
    <row r="3" spans="1:10" ht="15" customHeight="1" thickBot="1" x14ac:dyDescent="0.35">
      <c r="A3" s="56" t="s">
        <v>12</v>
      </c>
      <c r="E3" s="16" t="s">
        <v>206</v>
      </c>
      <c r="F3" s="56"/>
    </row>
    <row r="4" spans="1:10" ht="18.75" customHeight="1" x14ac:dyDescent="0.3">
      <c r="A4" s="964" t="s">
        <v>158</v>
      </c>
      <c r="B4" s="965"/>
      <c r="C4" s="19" t="s">
        <v>564</v>
      </c>
      <c r="D4" s="19" t="s">
        <v>560</v>
      </c>
      <c r="E4" s="19" t="s">
        <v>573</v>
      </c>
      <c r="F4" s="56"/>
    </row>
    <row r="5" spans="1:10" ht="31.5" customHeight="1" thickBot="1" x14ac:dyDescent="0.35">
      <c r="A5" s="339"/>
      <c r="B5" s="340"/>
      <c r="C5" s="88" t="s">
        <v>352</v>
      </c>
      <c r="D5" s="88" t="s">
        <v>561</v>
      </c>
      <c r="E5" s="88" t="s">
        <v>352</v>
      </c>
      <c r="F5" s="56"/>
    </row>
    <row r="6" spans="1:10" ht="21" x14ac:dyDescent="0.35">
      <c r="A6" s="341" t="s">
        <v>170</v>
      </c>
      <c r="B6" s="342" t="s">
        <v>129</v>
      </c>
      <c r="C6" s="343"/>
      <c r="D6" s="343"/>
      <c r="E6" s="343"/>
      <c r="F6" s="56"/>
    </row>
    <row r="7" spans="1:10" ht="21" x14ac:dyDescent="0.35">
      <c r="A7" s="344"/>
      <c r="B7" s="579" t="s">
        <v>438</v>
      </c>
      <c r="C7" s="616"/>
      <c r="D7" s="357">
        <v>81755</v>
      </c>
      <c r="E7" s="616">
        <f>SUM(C7:D7)</f>
        <v>81755</v>
      </c>
      <c r="F7" s="77"/>
      <c r="J7" s="338"/>
    </row>
    <row r="8" spans="1:10" ht="21" x14ac:dyDescent="0.35">
      <c r="A8" s="344"/>
      <c r="B8" s="579" t="s">
        <v>591</v>
      </c>
      <c r="C8" s="616"/>
      <c r="D8" s="357">
        <v>7000</v>
      </c>
      <c r="E8" s="616">
        <f>SUM(C8:D8)</f>
        <v>7000</v>
      </c>
      <c r="F8" s="77"/>
      <c r="J8" s="338"/>
    </row>
    <row r="9" spans="1:10" ht="21" x14ac:dyDescent="0.35">
      <c r="A9" s="344"/>
      <c r="B9" s="579" t="s">
        <v>542</v>
      </c>
      <c r="C9" s="332">
        <v>50000</v>
      </c>
      <c r="D9" s="345"/>
      <c r="E9" s="332">
        <f t="shared" ref="E9" si="0">SUM(C9:D9)</f>
        <v>50000</v>
      </c>
      <c r="F9" s="56"/>
      <c r="J9" s="338"/>
    </row>
    <row r="10" spans="1:10" ht="21" x14ac:dyDescent="0.35">
      <c r="A10" s="347"/>
      <c r="B10" s="348" t="s">
        <v>156</v>
      </c>
      <c r="C10" s="329">
        <f>SUM(C7:C9)</f>
        <v>50000</v>
      </c>
      <c r="D10" s="329">
        <f t="shared" ref="D10:E10" si="1">SUM(D7:D9)</f>
        <v>88755</v>
      </c>
      <c r="E10" s="329">
        <f t="shared" si="1"/>
        <v>138755</v>
      </c>
      <c r="F10" s="56"/>
      <c r="J10" s="338"/>
    </row>
    <row r="11" spans="1:10" ht="15" customHeight="1" x14ac:dyDescent="0.35">
      <c r="A11" s="350" t="s">
        <v>171</v>
      </c>
      <c r="B11" s="351" t="s">
        <v>157</v>
      </c>
      <c r="C11" s="353"/>
      <c r="D11" s="352"/>
      <c r="E11" s="353"/>
      <c r="F11" s="56"/>
      <c r="J11" s="338"/>
    </row>
    <row r="12" spans="1:10" ht="21" x14ac:dyDescent="0.35">
      <c r="A12" s="341"/>
      <c r="B12" s="579" t="s">
        <v>550</v>
      </c>
      <c r="C12" s="312">
        <v>100000</v>
      </c>
      <c r="D12" s="355"/>
      <c r="E12" s="312">
        <f>SUM(C12:D12)</f>
        <v>100000</v>
      </c>
      <c r="F12" s="56"/>
      <c r="J12" s="338"/>
    </row>
    <row r="13" spans="1:10" ht="21" x14ac:dyDescent="0.35">
      <c r="A13" s="347"/>
      <c r="B13" s="348" t="s">
        <v>125</v>
      </c>
      <c r="C13" s="329">
        <f>SUM(C12:C12)</f>
        <v>100000</v>
      </c>
      <c r="D13" s="349">
        <f>SUM(D12:D12)</f>
        <v>0</v>
      </c>
      <c r="E13" s="329">
        <f>SUM(E12:E12)</f>
        <v>100000</v>
      </c>
      <c r="F13" s="56"/>
      <c r="J13" s="338"/>
    </row>
    <row r="14" spans="1:10" ht="15" customHeight="1" x14ac:dyDescent="0.35">
      <c r="A14" s="341" t="s">
        <v>172</v>
      </c>
      <c r="B14" s="351" t="s">
        <v>169</v>
      </c>
      <c r="C14" s="353"/>
      <c r="D14" s="353"/>
      <c r="E14" s="353"/>
      <c r="F14" s="56"/>
      <c r="J14" s="338"/>
    </row>
    <row r="15" spans="1:10" ht="21" x14ac:dyDescent="0.35">
      <c r="A15" s="344"/>
      <c r="B15" s="354"/>
      <c r="C15" s="312"/>
      <c r="D15" s="357"/>
      <c r="E15" s="312"/>
      <c r="F15" s="56"/>
      <c r="J15" s="338"/>
    </row>
    <row r="16" spans="1:10" ht="15" customHeight="1" x14ac:dyDescent="0.35">
      <c r="A16" s="347"/>
      <c r="B16" s="348" t="s">
        <v>138</v>
      </c>
      <c r="C16" s="329">
        <f>SUM(C15:C15)</f>
        <v>0</v>
      </c>
      <c r="D16" s="349">
        <f>SUM(D15:D15)</f>
        <v>0</v>
      </c>
      <c r="E16" s="329">
        <f>SUM(E15:E15)</f>
        <v>0</v>
      </c>
      <c r="F16" s="56"/>
      <c r="J16" s="338"/>
    </row>
    <row r="17" spans="1:10" ht="15" customHeight="1" x14ac:dyDescent="0.35">
      <c r="A17" s="341" t="s">
        <v>173</v>
      </c>
      <c r="B17" s="351" t="s">
        <v>174</v>
      </c>
      <c r="C17" s="353"/>
      <c r="D17" s="353"/>
      <c r="E17" s="353"/>
      <c r="F17" s="56"/>
      <c r="J17" s="338"/>
    </row>
    <row r="18" spans="1:10" ht="21" x14ac:dyDescent="0.35">
      <c r="A18" s="344"/>
      <c r="B18" s="358" t="s">
        <v>350</v>
      </c>
      <c r="C18" s="312">
        <v>15000</v>
      </c>
      <c r="D18" s="33"/>
      <c r="E18" s="312">
        <f>SUM(C18:D18)</f>
        <v>15000</v>
      </c>
      <c r="F18" s="56"/>
      <c r="J18" s="338"/>
    </row>
    <row r="19" spans="1:10" ht="21" x14ac:dyDescent="0.35">
      <c r="A19" s="344"/>
      <c r="B19" s="556" t="s">
        <v>528</v>
      </c>
      <c r="C19" s="313">
        <v>40000</v>
      </c>
      <c r="D19" s="36"/>
      <c r="E19" s="312">
        <f t="shared" ref="E19" si="2">SUM(C19:D19)</f>
        <v>40000</v>
      </c>
      <c r="F19" s="56"/>
      <c r="J19" s="338"/>
    </row>
    <row r="20" spans="1:10" ht="21" x14ac:dyDescent="0.35">
      <c r="A20" s="347"/>
      <c r="B20" s="359" t="s">
        <v>139</v>
      </c>
      <c r="C20" s="329">
        <f>SUM(C18:C19)</f>
        <v>55000</v>
      </c>
      <c r="D20" s="329">
        <f>SUM(D18:D19)</f>
        <v>0</v>
      </c>
      <c r="E20" s="329">
        <f>SUM(E18:E19)</f>
        <v>55000</v>
      </c>
      <c r="F20" s="56"/>
      <c r="H20" s="360"/>
      <c r="J20" s="338"/>
    </row>
    <row r="21" spans="1:10" ht="15" customHeight="1" x14ac:dyDescent="0.35">
      <c r="A21" s="341" t="s">
        <v>175</v>
      </c>
      <c r="B21" s="351" t="s">
        <v>140</v>
      </c>
      <c r="C21" s="353"/>
      <c r="D21" s="353"/>
      <c r="E21" s="353"/>
      <c r="F21" s="56"/>
      <c r="J21" s="338"/>
    </row>
    <row r="22" spans="1:10" ht="21" x14ac:dyDescent="0.35">
      <c r="A22" s="361" t="s">
        <v>167</v>
      </c>
      <c r="B22" s="362"/>
      <c r="C22" s="363"/>
      <c r="D22" s="363"/>
      <c r="E22" s="363"/>
      <c r="F22" s="56"/>
      <c r="J22" s="338"/>
    </row>
    <row r="23" spans="1:10" ht="21" x14ac:dyDescent="0.35">
      <c r="A23" s="344"/>
      <c r="B23" s="364" t="s">
        <v>273</v>
      </c>
      <c r="C23" s="33"/>
      <c r="D23" s="33">
        <f>115351+985688</f>
        <v>1101039</v>
      </c>
      <c r="E23" s="33">
        <f>SUM(C23:D23)</f>
        <v>1101039</v>
      </c>
      <c r="F23" s="77"/>
      <c r="J23" s="338"/>
    </row>
    <row r="24" spans="1:10" ht="21" x14ac:dyDescent="0.35">
      <c r="A24" s="344"/>
      <c r="B24" s="364" t="s">
        <v>503</v>
      </c>
      <c r="C24" s="54"/>
      <c r="D24" s="54">
        <v>312</v>
      </c>
      <c r="E24" s="33">
        <f t="shared" ref="E24" si="3">SUM(C24:D24)</f>
        <v>312</v>
      </c>
      <c r="F24" s="77"/>
      <c r="J24" s="338"/>
    </row>
    <row r="25" spans="1:10" ht="21" x14ac:dyDescent="0.35">
      <c r="A25" s="361" t="s">
        <v>166</v>
      </c>
      <c r="B25" s="362"/>
      <c r="C25" s="196"/>
      <c r="D25" s="196"/>
      <c r="E25" s="196"/>
      <c r="F25" s="56"/>
      <c r="J25" s="338"/>
    </row>
    <row r="26" spans="1:10" ht="21" x14ac:dyDescent="0.35">
      <c r="A26" s="344"/>
      <c r="B26" s="358" t="s">
        <v>428</v>
      </c>
      <c r="C26" s="312">
        <v>0</v>
      </c>
      <c r="D26" s="33">
        <v>4191</v>
      </c>
      <c r="E26" s="312">
        <f t="shared" ref="E26:E30" si="4">SUM(C26:D26)</f>
        <v>4191</v>
      </c>
      <c r="F26" s="77"/>
      <c r="J26" s="338"/>
    </row>
    <row r="27" spans="1:10" ht="21" x14ac:dyDescent="0.35">
      <c r="A27" s="344"/>
      <c r="B27" s="358" t="s">
        <v>593</v>
      </c>
      <c r="C27" s="312">
        <v>10000</v>
      </c>
      <c r="D27" s="33">
        <f>18000+5000</f>
        <v>23000</v>
      </c>
      <c r="E27" s="312">
        <f t="shared" si="4"/>
        <v>33000</v>
      </c>
      <c r="F27" s="77"/>
      <c r="J27" s="338"/>
    </row>
    <row r="28" spans="1:10" ht="21" x14ac:dyDescent="0.35">
      <c r="A28" s="344"/>
      <c r="B28" s="365" t="s">
        <v>457</v>
      </c>
      <c r="C28" s="33"/>
      <c r="D28" s="33">
        <v>983</v>
      </c>
      <c r="E28" s="312">
        <f t="shared" si="4"/>
        <v>983</v>
      </c>
      <c r="F28" s="77"/>
      <c r="J28" s="338"/>
    </row>
    <row r="29" spans="1:10" ht="21" x14ac:dyDescent="0.35">
      <c r="A29" s="344"/>
      <c r="B29" s="365" t="s">
        <v>551</v>
      </c>
      <c r="C29" s="33">
        <v>15000</v>
      </c>
      <c r="D29" s="33"/>
      <c r="E29" s="312">
        <f t="shared" si="4"/>
        <v>15000</v>
      </c>
      <c r="F29" s="56"/>
      <c r="J29" s="338"/>
    </row>
    <row r="30" spans="1:10" ht="21" x14ac:dyDescent="0.35">
      <c r="A30" s="344"/>
      <c r="B30" s="365" t="s">
        <v>585</v>
      </c>
      <c r="C30" s="33"/>
      <c r="D30" s="33">
        <v>38449</v>
      </c>
      <c r="E30" s="312">
        <f t="shared" si="4"/>
        <v>38449</v>
      </c>
      <c r="F30" s="56"/>
      <c r="J30" s="338"/>
    </row>
    <row r="31" spans="1:10" ht="21" x14ac:dyDescent="0.35">
      <c r="A31" s="361" t="s">
        <v>168</v>
      </c>
      <c r="B31" s="366"/>
      <c r="C31" s="327"/>
      <c r="D31" s="196"/>
      <c r="E31" s="327"/>
      <c r="F31" s="56"/>
      <c r="J31" s="338"/>
    </row>
    <row r="32" spans="1:10" ht="38.25" x14ac:dyDescent="0.35">
      <c r="A32" s="361"/>
      <c r="B32" s="358" t="s">
        <v>504</v>
      </c>
      <c r="C32" s="312"/>
      <c r="D32" s="33">
        <v>25010</v>
      </c>
      <c r="E32" s="312">
        <f>SUM(C32:D32)</f>
        <v>25010</v>
      </c>
      <c r="F32" s="77"/>
      <c r="J32" s="338"/>
    </row>
    <row r="33" spans="1:10" ht="21" x14ac:dyDescent="0.35">
      <c r="A33" s="344"/>
      <c r="B33" s="358" t="s">
        <v>115</v>
      </c>
      <c r="C33" s="312"/>
      <c r="D33" s="33">
        <v>2807</v>
      </c>
      <c r="E33" s="312">
        <f t="shared" ref="E33:E35" si="5">SUM(C33:D33)</f>
        <v>2807</v>
      </c>
      <c r="F33" s="77"/>
      <c r="J33" s="338"/>
    </row>
    <row r="34" spans="1:10" ht="21" x14ac:dyDescent="0.35">
      <c r="A34" s="367"/>
      <c r="B34" s="346" t="s">
        <v>389</v>
      </c>
      <c r="C34" s="312"/>
      <c r="D34" s="33">
        <v>385</v>
      </c>
      <c r="E34" s="312">
        <f t="shared" si="5"/>
        <v>385</v>
      </c>
      <c r="F34" s="77"/>
      <c r="J34" s="338"/>
    </row>
    <row r="35" spans="1:10" ht="21" x14ac:dyDescent="0.35">
      <c r="A35" s="367"/>
      <c r="B35" s="346" t="s">
        <v>439</v>
      </c>
      <c r="C35" s="312"/>
      <c r="D35" s="33">
        <v>7608</v>
      </c>
      <c r="E35" s="312">
        <f t="shared" si="5"/>
        <v>7608</v>
      </c>
      <c r="F35" s="77"/>
      <c r="J35" s="338"/>
    </row>
    <row r="36" spans="1:10" ht="21" x14ac:dyDescent="0.35">
      <c r="A36" s="361" t="s">
        <v>16</v>
      </c>
      <c r="B36" s="366"/>
      <c r="C36" s="356"/>
      <c r="D36" s="196"/>
      <c r="E36" s="356"/>
      <c r="F36" s="56"/>
      <c r="J36" s="338"/>
    </row>
    <row r="37" spans="1:10" ht="25.15" customHeight="1" x14ac:dyDescent="0.35">
      <c r="A37" s="344"/>
      <c r="B37" s="354" t="s">
        <v>422</v>
      </c>
      <c r="C37" s="312"/>
      <c r="D37" s="33">
        <v>8206</v>
      </c>
      <c r="E37" s="312">
        <f>SUM(C37:D37)</f>
        <v>8206</v>
      </c>
      <c r="F37" s="77"/>
      <c r="J37" s="338"/>
    </row>
    <row r="38" spans="1:10" ht="21" x14ac:dyDescent="0.35">
      <c r="A38" s="966" t="s">
        <v>9</v>
      </c>
      <c r="B38" s="967"/>
      <c r="C38" s="356"/>
      <c r="D38" s="196"/>
      <c r="E38" s="356"/>
      <c r="F38" s="56"/>
      <c r="J38" s="338"/>
    </row>
    <row r="39" spans="1:10" ht="21" x14ac:dyDescent="0.35">
      <c r="A39" s="361"/>
      <c r="B39" s="370"/>
      <c r="C39" s="33"/>
      <c r="D39" s="33"/>
      <c r="E39" s="33"/>
      <c r="F39" s="56"/>
      <c r="J39" s="338"/>
    </row>
    <row r="40" spans="1:10" ht="21" x14ac:dyDescent="0.35">
      <c r="A40" s="361" t="s">
        <v>19</v>
      </c>
      <c r="B40" s="366"/>
      <c r="C40" s="54"/>
      <c r="D40" s="54"/>
      <c r="E40" s="54"/>
      <c r="F40" s="56"/>
      <c r="J40" s="338"/>
    </row>
    <row r="41" spans="1:10" ht="21" x14ac:dyDescent="0.35">
      <c r="A41" s="367"/>
      <c r="B41" s="369" t="s">
        <v>464</v>
      </c>
      <c r="C41" s="312"/>
      <c r="D41" s="312">
        <v>33272</v>
      </c>
      <c r="E41" s="312">
        <f>SUM(C41:D41)</f>
        <v>33272</v>
      </c>
      <c r="F41" s="77"/>
      <c r="J41" s="338"/>
    </row>
    <row r="42" spans="1:10" ht="21.6" customHeight="1" x14ac:dyDescent="0.35">
      <c r="A42" s="344"/>
      <c r="B42" s="3" t="s">
        <v>393</v>
      </c>
      <c r="C42" s="312">
        <v>65542</v>
      </c>
      <c r="D42" s="33">
        <v>-65542</v>
      </c>
      <c r="E42" s="312">
        <f t="shared" ref="E42:E45" si="6">SUM(C42:D42)</f>
        <v>0</v>
      </c>
      <c r="F42" s="77"/>
      <c r="J42" s="338"/>
    </row>
    <row r="43" spans="1:10" ht="38.25" x14ac:dyDescent="0.35">
      <c r="A43" s="344"/>
      <c r="B43" s="368" t="s">
        <v>437</v>
      </c>
      <c r="C43" s="312"/>
      <c r="D43" s="33">
        <v>82</v>
      </c>
      <c r="E43" s="312">
        <f t="shared" si="6"/>
        <v>82</v>
      </c>
      <c r="F43" s="77"/>
      <c r="J43" s="338"/>
    </row>
    <row r="44" spans="1:10" ht="21" x14ac:dyDescent="0.35">
      <c r="A44" s="344"/>
      <c r="B44" s="368" t="s">
        <v>526</v>
      </c>
      <c r="C44" s="312"/>
      <c r="D44" s="33">
        <f>32188-1500</f>
        <v>30688</v>
      </c>
      <c r="E44" s="312">
        <f t="shared" si="6"/>
        <v>30688</v>
      </c>
      <c r="F44" s="77"/>
      <c r="J44" s="338"/>
    </row>
    <row r="45" spans="1:10" ht="21.75" thickBot="1" x14ac:dyDescent="0.4">
      <c r="A45" s="367"/>
      <c r="B45" s="368" t="s">
        <v>527</v>
      </c>
      <c r="C45" s="356"/>
      <c r="D45" s="54"/>
      <c r="E45" s="312">
        <f t="shared" si="6"/>
        <v>0</v>
      </c>
      <c r="F45" s="56"/>
      <c r="J45" s="338"/>
    </row>
    <row r="46" spans="1:10" ht="21.75" thickBot="1" x14ac:dyDescent="0.4">
      <c r="A46" s="371"/>
      <c r="B46" s="372" t="s">
        <v>193</v>
      </c>
      <c r="C46" s="46">
        <f>SUM(C23:C45)</f>
        <v>90542</v>
      </c>
      <c r="D46" s="46">
        <f>SUM(D23:D45)</f>
        <v>1210490</v>
      </c>
      <c r="E46" s="46">
        <f>SUM(E23:E45)</f>
        <v>1301032</v>
      </c>
      <c r="F46" s="56"/>
      <c r="J46" s="338"/>
    </row>
    <row r="47" spans="1:10" ht="19.149999999999999" customHeight="1" x14ac:dyDescent="0.35">
      <c r="A47" s="341" t="s">
        <v>176</v>
      </c>
      <c r="B47" s="373" t="s">
        <v>385</v>
      </c>
      <c r="C47" s="374"/>
      <c r="D47" s="374"/>
      <c r="E47" s="374"/>
      <c r="F47" s="56"/>
      <c r="J47" s="338"/>
    </row>
    <row r="48" spans="1:10" ht="21" x14ac:dyDescent="0.35">
      <c r="A48" s="367"/>
      <c r="B48" s="375"/>
      <c r="C48" s="557"/>
      <c r="D48" s="33"/>
      <c r="E48" s="557"/>
      <c r="F48" s="56"/>
      <c r="J48" s="338"/>
    </row>
    <row r="49" spans="1:10" ht="21" x14ac:dyDescent="0.35">
      <c r="A49" s="347"/>
      <c r="B49" s="359" t="s">
        <v>386</v>
      </c>
      <c r="C49" s="329">
        <f>SUM(C48:C48)</f>
        <v>0</v>
      </c>
      <c r="D49" s="329">
        <f>SUM(D48:D48)</f>
        <v>0</v>
      </c>
      <c r="E49" s="329">
        <f>SUM(C49:D49)</f>
        <v>0</v>
      </c>
      <c r="F49" s="56"/>
      <c r="J49" s="338"/>
    </row>
    <row r="50" spans="1:10" ht="21.75" thickBot="1" x14ac:dyDescent="0.4">
      <c r="A50" s="376" t="s">
        <v>177</v>
      </c>
      <c r="B50" s="599" t="s">
        <v>33</v>
      </c>
      <c r="C50" s="377">
        <v>1200</v>
      </c>
      <c r="D50" s="600"/>
      <c r="E50" s="377">
        <f>SUM(C50:D50)</f>
        <v>1200</v>
      </c>
      <c r="F50" s="56"/>
      <c r="J50" s="338"/>
    </row>
    <row r="51" spans="1:10" ht="20.25" customHeight="1" thickBot="1" x14ac:dyDescent="0.4">
      <c r="A51" s="378" t="s">
        <v>298</v>
      </c>
      <c r="B51" s="379"/>
      <c r="C51" s="315">
        <f>C10+C13+C16+C20+C46+C49+C50</f>
        <v>296742</v>
      </c>
      <c r="D51" s="380">
        <f>D10+D13+D16+D20+D46+D49+D50</f>
        <v>1299245</v>
      </c>
      <c r="E51" s="315">
        <f>E10+E13+E16+E20+E46+E49+E50</f>
        <v>1595987</v>
      </c>
      <c r="F51" s="56"/>
      <c r="J51" s="338"/>
    </row>
    <row r="52" spans="1:10" ht="15" customHeight="1" x14ac:dyDescent="0.3">
      <c r="J52" s="338"/>
    </row>
    <row r="54" spans="1:10" ht="15" customHeight="1" x14ac:dyDescent="0.3">
      <c r="C54" s="338"/>
      <c r="E54" s="338"/>
    </row>
    <row r="55" spans="1:10" ht="15" customHeight="1" x14ac:dyDescent="0.3">
      <c r="C55" s="338"/>
      <c r="E55" s="338"/>
    </row>
    <row r="56" spans="1:10" ht="15" customHeight="1" x14ac:dyDescent="0.3">
      <c r="C56" s="338"/>
      <c r="E56" s="338"/>
    </row>
  </sheetData>
  <customSheetViews>
    <customSheetView guid="{6D4B996F-8915-4E78-98C2-E7EAE9C4580C}" scale="75" showRuler="0">
      <selection activeCell="C29" sqref="C29"/>
      <rowBreaks count="1" manualBreakCount="1">
        <brk id="71" max="6" man="1"/>
      </rowBreaks>
      <pageMargins left="0" right="0" top="0" bottom="0" header="0.11811023622047245" footer="0"/>
      <printOptions horizontalCentered="1" verticalCentered="1"/>
      <pageSetup paperSize="9" scale="60" orientation="portrait" horizontalDpi="300" verticalDpi="300" r:id="rId1"/>
      <headerFooter alignWithMargins="0">
        <oddHeader>&amp;C&amp;R&amp;"Times New Roman CE,Félkövér"&amp;16F.1.sz. melléklet&amp;"Times New Roman CE,Normál"&amp;8</oddHeader>
      </headerFooter>
    </customSheetView>
    <customSheetView guid="{186732C5-520C-4E06-B066-B4F3F0A3E322}" scale="75" showRuler="0" topLeftCell="A89">
      <selection activeCell="C26" sqref="C26"/>
      <rowBreaks count="1" manualBreakCount="1">
        <brk id="71" max="6" man="1"/>
      </rowBreaks>
      <pageMargins left="0" right="0" top="0" bottom="0" header="0.11811023622047245" footer="0"/>
      <printOptions horizontalCentered="1" verticalCentered="1"/>
      <pageSetup paperSize="9" scale="60" orientation="portrait" horizontalDpi="300" verticalDpi="300" r:id="rId2"/>
      <headerFooter alignWithMargins="0">
        <oddHeader>&amp;C&amp;R&amp;"Times New Roman CE,Félkövér"&amp;16F.1.sz. melléklet&amp;"Times New Roman CE,Normál"&amp;8</oddHeader>
      </headerFooter>
    </customSheetView>
  </customSheetViews>
  <mergeCells count="3">
    <mergeCell ref="A4:B4"/>
    <mergeCell ref="A38:B38"/>
    <mergeCell ref="A2:E2"/>
  </mergeCells>
  <phoneticPr fontId="0" type="noConversion"/>
  <printOptions horizontalCentered="1" verticalCentered="1"/>
  <pageMargins left="0.39370078740157483" right="0.19685039370078741" top="0" bottom="0" header="0" footer="0.51181102362204722"/>
  <pageSetup paperSize="9" scale="51" fitToHeight="0" orientation="portrait" r:id="rId3"/>
  <headerFooter alignWithMargins="0">
    <oddHeader xml:space="preserve">&amp;R&amp;"-,Félkövér"&amp;14 18. melléklet a 15/2025. (V.30.) önkormányzati rendelethez
"18. melléklet a 4/2025. (II.28) önkormányzati rendelethez"&amp;"Times New Roman CE,Félkövér"&amp;20
</oddHeader>
  </headerFooter>
  <rowBreaks count="1" manualBreakCount="1">
    <brk id="51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20"/>
  <sheetViews>
    <sheetView zoomScale="89" zoomScaleNormal="89" workbookViewId="0">
      <selection activeCell="A12" sqref="A12"/>
    </sheetView>
  </sheetViews>
  <sheetFormatPr defaultRowHeight="15.75" x14ac:dyDescent="0.25"/>
  <cols>
    <col min="1" max="1" width="102.83203125" style="399" customWidth="1"/>
    <col min="2" max="2" width="23.83203125" style="399" bestFit="1" customWidth="1"/>
    <col min="3" max="3" width="22.1640625" style="399" bestFit="1" customWidth="1"/>
    <col min="4" max="5" width="20.83203125" style="399" customWidth="1"/>
    <col min="6" max="6" width="22.1640625" style="399" bestFit="1" customWidth="1"/>
    <col min="7" max="14" width="20.83203125" style="399" customWidth="1"/>
    <col min="15" max="15" width="14.6640625" style="400" bestFit="1" customWidth="1"/>
    <col min="16" max="16" width="17.33203125" style="400" customWidth="1"/>
    <col min="17" max="17" width="13.33203125" style="400" bestFit="1" customWidth="1"/>
    <col min="18" max="19" width="9.33203125" style="400"/>
    <col min="20" max="16384" width="9.33203125" style="399"/>
  </cols>
  <sheetData>
    <row r="1" spans="1:19" s="382" customFormat="1" ht="21" x14ac:dyDescent="0.35">
      <c r="A1" s="175" t="s">
        <v>575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3"/>
      <c r="P1" s="383"/>
      <c r="Q1" s="383"/>
      <c r="R1" s="383"/>
      <c r="S1" s="383"/>
    </row>
    <row r="2" spans="1:19" s="382" customFormat="1" x14ac:dyDescent="0.25">
      <c r="A2" s="969"/>
      <c r="B2" s="969"/>
      <c r="O2" s="383"/>
      <c r="P2" s="383"/>
      <c r="Q2" s="383"/>
      <c r="R2" s="383"/>
      <c r="S2" s="383"/>
    </row>
    <row r="3" spans="1:19" s="382" customFormat="1" ht="16.5" thickBot="1" x14ac:dyDescent="0.3">
      <c r="N3" s="560" t="s">
        <v>353</v>
      </c>
      <c r="O3" s="383"/>
      <c r="P3" s="383"/>
      <c r="Q3" s="383"/>
      <c r="R3" s="383"/>
      <c r="S3" s="383"/>
    </row>
    <row r="4" spans="1:19" s="382" customFormat="1" ht="20.100000000000001" customHeight="1" x14ac:dyDescent="0.25">
      <c r="A4" s="384" t="s">
        <v>205</v>
      </c>
      <c r="B4" s="385" t="s">
        <v>221</v>
      </c>
      <c r="C4" s="385" t="s">
        <v>170</v>
      </c>
      <c r="D4" s="385" t="s">
        <v>171</v>
      </c>
      <c r="E4" s="385" t="s">
        <v>172</v>
      </c>
      <c r="F4" s="385" t="s">
        <v>173</v>
      </c>
      <c r="G4" s="385" t="s">
        <v>175</v>
      </c>
      <c r="H4" s="385" t="s">
        <v>176</v>
      </c>
      <c r="I4" s="385" t="s">
        <v>177</v>
      </c>
      <c r="J4" s="385" t="s">
        <v>178</v>
      </c>
      <c r="K4" s="385" t="s">
        <v>215</v>
      </c>
      <c r="L4" s="385" t="s">
        <v>216</v>
      </c>
      <c r="M4" s="385" t="s">
        <v>217</v>
      </c>
      <c r="N4" s="385" t="s">
        <v>218</v>
      </c>
      <c r="O4" s="383"/>
      <c r="P4" s="383"/>
      <c r="Q4" s="383"/>
      <c r="R4" s="383"/>
      <c r="S4" s="383"/>
    </row>
    <row r="5" spans="1:19" s="382" customFormat="1" ht="20.100000000000001" customHeight="1" x14ac:dyDescent="0.25">
      <c r="A5" s="386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3"/>
      <c r="P5" s="383"/>
      <c r="Q5" s="383"/>
      <c r="R5" s="383"/>
      <c r="S5" s="383"/>
    </row>
    <row r="6" spans="1:19" s="382" customFormat="1" ht="67.5" customHeight="1" thickBot="1" x14ac:dyDescent="0.3">
      <c r="A6" s="388"/>
      <c r="B6" s="389" t="s">
        <v>222</v>
      </c>
      <c r="C6" s="389" t="s">
        <v>223</v>
      </c>
      <c r="D6" s="389" t="s">
        <v>223</v>
      </c>
      <c r="E6" s="389" t="s">
        <v>223</v>
      </c>
      <c r="F6" s="389" t="s">
        <v>223</v>
      </c>
      <c r="G6" s="389" t="s">
        <v>223</v>
      </c>
      <c r="H6" s="389" t="s">
        <v>223</v>
      </c>
      <c r="I6" s="389" t="s">
        <v>223</v>
      </c>
      <c r="J6" s="389" t="s">
        <v>223</v>
      </c>
      <c r="K6" s="389" t="s">
        <v>223</v>
      </c>
      <c r="L6" s="389" t="s">
        <v>223</v>
      </c>
      <c r="M6" s="389" t="s">
        <v>223</v>
      </c>
      <c r="N6" s="389" t="s">
        <v>223</v>
      </c>
      <c r="O6" s="383"/>
      <c r="P6" s="383"/>
      <c r="Q6" s="383"/>
      <c r="R6" s="383"/>
      <c r="S6" s="383"/>
    </row>
    <row r="7" spans="1:19" s="382" customFormat="1" ht="24" customHeight="1" x14ac:dyDescent="0.3">
      <c r="A7" s="561" t="s">
        <v>224</v>
      </c>
      <c r="B7" s="562">
        <f>'1 kiemelt ei. '!G13</f>
        <v>29558460</v>
      </c>
      <c r="C7" s="562">
        <f>1141413+3631</f>
        <v>1145044</v>
      </c>
      <c r="D7" s="562">
        <v>1141413</v>
      </c>
      <c r="E7" s="562">
        <f>1141413+4800000</f>
        <v>5941413</v>
      </c>
      <c r="F7" s="562">
        <f>1141413+7813+523400</f>
        <v>1672626</v>
      </c>
      <c r="G7" s="562">
        <f>1141413+3500000+7813</f>
        <v>4649226</v>
      </c>
      <c r="H7" s="562">
        <f>1141413+7813</f>
        <v>1149226</v>
      </c>
      <c r="I7" s="562">
        <f>1141413+7813</f>
        <v>1149226</v>
      </c>
      <c r="J7" s="562">
        <f>1141413+7813</f>
        <v>1149226</v>
      </c>
      <c r="K7" s="562">
        <f>1141413+4800000+7000+7813</f>
        <v>5956226</v>
      </c>
      <c r="L7" s="562">
        <f>1141413+7813</f>
        <v>1149226</v>
      </c>
      <c r="M7" s="562">
        <f>1141413+7813+173000+300000</f>
        <v>1622226</v>
      </c>
      <c r="N7" s="562">
        <f>1141413-3+1200000+7813-9801+274960+219000</f>
        <v>2833382</v>
      </c>
      <c r="O7" s="383"/>
      <c r="P7" s="383"/>
      <c r="Q7" s="383"/>
      <c r="R7" s="383"/>
      <c r="S7" s="383"/>
    </row>
    <row r="8" spans="1:19" s="382" customFormat="1" ht="24" customHeight="1" thickBot="1" x14ac:dyDescent="0.35">
      <c r="A8" s="566" t="s">
        <v>225</v>
      </c>
      <c r="B8" s="564">
        <f>'1 kiemelt ei. '!G17</f>
        <v>1138723</v>
      </c>
      <c r="C8" s="564">
        <v>667</v>
      </c>
      <c r="D8" s="564">
        <v>667</v>
      </c>
      <c r="E8" s="564">
        <v>667</v>
      </c>
      <c r="F8" s="564">
        <f>667+38449</f>
        <v>39116</v>
      </c>
      <c r="G8" s="564">
        <f>667+92274</f>
        <v>92941</v>
      </c>
      <c r="H8" s="564">
        <v>667</v>
      </c>
      <c r="I8" s="564">
        <v>667</v>
      </c>
      <c r="J8" s="564">
        <v>667</v>
      </c>
      <c r="K8" s="564">
        <f>500000+667</f>
        <v>500667</v>
      </c>
      <c r="L8" s="564">
        <f>500000+667</f>
        <v>500667</v>
      </c>
      <c r="M8" s="564">
        <v>667</v>
      </c>
      <c r="N8" s="564">
        <v>663</v>
      </c>
      <c r="O8" s="383"/>
      <c r="P8" s="383"/>
      <c r="Q8" s="383"/>
      <c r="R8" s="383"/>
      <c r="S8" s="383"/>
    </row>
    <row r="9" spans="1:19" s="391" customFormat="1" ht="24" customHeight="1" thickBot="1" x14ac:dyDescent="0.35">
      <c r="A9" s="392" t="s">
        <v>226</v>
      </c>
      <c r="B9" s="393">
        <f t="shared" ref="B9:N9" si="0">+B7+B8</f>
        <v>30697183</v>
      </c>
      <c r="C9" s="393">
        <f t="shared" si="0"/>
        <v>1145711</v>
      </c>
      <c r="D9" s="393">
        <f t="shared" si="0"/>
        <v>1142080</v>
      </c>
      <c r="E9" s="393">
        <f t="shared" si="0"/>
        <v>5942080</v>
      </c>
      <c r="F9" s="393">
        <f t="shared" si="0"/>
        <v>1711742</v>
      </c>
      <c r="G9" s="393">
        <f t="shared" si="0"/>
        <v>4742167</v>
      </c>
      <c r="H9" s="393">
        <f t="shared" si="0"/>
        <v>1149893</v>
      </c>
      <c r="I9" s="393">
        <f t="shared" si="0"/>
        <v>1149893</v>
      </c>
      <c r="J9" s="393">
        <f t="shared" si="0"/>
        <v>1149893</v>
      </c>
      <c r="K9" s="393">
        <f t="shared" si="0"/>
        <v>6456893</v>
      </c>
      <c r="L9" s="393">
        <f t="shared" si="0"/>
        <v>1649893</v>
      </c>
      <c r="M9" s="393">
        <f t="shared" si="0"/>
        <v>1622893</v>
      </c>
      <c r="N9" s="393">
        <f t="shared" si="0"/>
        <v>2834045</v>
      </c>
      <c r="O9" s="390"/>
      <c r="P9" s="390"/>
      <c r="Q9" s="390"/>
      <c r="R9" s="390"/>
      <c r="S9" s="390"/>
    </row>
    <row r="10" spans="1:19" s="382" customFormat="1" ht="49.5" customHeight="1" thickBot="1" x14ac:dyDescent="0.35">
      <c r="A10" s="394" t="s">
        <v>227</v>
      </c>
      <c r="B10" s="395">
        <f>'1 kiemelt ei. '!G19</f>
        <v>3216378</v>
      </c>
      <c r="C10" s="396">
        <v>1090095</v>
      </c>
      <c r="D10" s="396"/>
      <c r="E10" s="396"/>
      <c r="F10" s="396"/>
      <c r="G10" s="396">
        <v>2126283</v>
      </c>
      <c r="H10" s="396"/>
      <c r="I10" s="396"/>
      <c r="J10" s="396"/>
      <c r="K10" s="396"/>
      <c r="L10" s="396"/>
      <c r="M10" s="396"/>
      <c r="N10" s="396"/>
      <c r="O10" s="383"/>
      <c r="P10" s="383"/>
      <c r="Q10" s="383"/>
      <c r="R10" s="383"/>
      <c r="S10" s="383"/>
    </row>
    <row r="11" spans="1:19" s="391" customFormat="1" ht="24" customHeight="1" thickBot="1" x14ac:dyDescent="0.35">
      <c r="A11" s="397" t="s">
        <v>228</v>
      </c>
      <c r="B11" s="393">
        <f>+B9+B10</f>
        <v>33913561</v>
      </c>
      <c r="C11" s="393">
        <f t="shared" ref="C11:N11" si="1">+C9+C10</f>
        <v>2235806</v>
      </c>
      <c r="D11" s="393">
        <f t="shared" si="1"/>
        <v>1142080</v>
      </c>
      <c r="E11" s="393">
        <f t="shared" si="1"/>
        <v>5942080</v>
      </c>
      <c r="F11" s="393">
        <f t="shared" si="1"/>
        <v>1711742</v>
      </c>
      <c r="G11" s="393">
        <f t="shared" si="1"/>
        <v>6868450</v>
      </c>
      <c r="H11" s="393">
        <f t="shared" si="1"/>
        <v>1149893</v>
      </c>
      <c r="I11" s="393">
        <f t="shared" si="1"/>
        <v>1149893</v>
      </c>
      <c r="J11" s="393">
        <f t="shared" si="1"/>
        <v>1149893</v>
      </c>
      <c r="K11" s="393">
        <f t="shared" si="1"/>
        <v>6456893</v>
      </c>
      <c r="L11" s="393">
        <f t="shared" si="1"/>
        <v>1649893</v>
      </c>
      <c r="M11" s="393">
        <f t="shared" si="1"/>
        <v>1622893</v>
      </c>
      <c r="N11" s="393">
        <f t="shared" si="1"/>
        <v>2834045</v>
      </c>
      <c r="O11" s="390"/>
      <c r="P11" s="390"/>
      <c r="Q11" s="390"/>
      <c r="R11" s="390"/>
      <c r="S11" s="390"/>
    </row>
    <row r="12" spans="1:19" s="382" customFormat="1" ht="24" customHeight="1" x14ac:dyDescent="0.25">
      <c r="O12" s="383"/>
      <c r="P12" s="383"/>
      <c r="Q12" s="383"/>
      <c r="R12" s="383"/>
      <c r="S12" s="383"/>
    </row>
    <row r="13" spans="1:19" s="382" customFormat="1" x14ac:dyDescent="0.25">
      <c r="B13" s="383"/>
      <c r="O13" s="383"/>
      <c r="P13" s="383"/>
      <c r="Q13" s="383"/>
      <c r="R13" s="383"/>
      <c r="S13" s="383"/>
    </row>
    <row r="14" spans="1:19" s="382" customFormat="1" x14ac:dyDescent="0.25">
      <c r="C14" s="383"/>
      <c r="D14" s="383"/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  <c r="P14" s="383"/>
      <c r="Q14" s="383"/>
      <c r="R14" s="383"/>
      <c r="S14" s="383"/>
    </row>
    <row r="15" spans="1:19" s="382" customFormat="1" x14ac:dyDescent="0.25">
      <c r="C15" s="383"/>
      <c r="O15" s="383"/>
      <c r="P15" s="383"/>
      <c r="Q15" s="383"/>
      <c r="R15" s="383"/>
      <c r="S15" s="383"/>
    </row>
    <row r="16" spans="1:19" s="382" customFormat="1" x14ac:dyDescent="0.25">
      <c r="C16" s="398"/>
      <c r="D16" s="398"/>
      <c r="E16" s="398"/>
      <c r="F16" s="398"/>
      <c r="G16" s="398"/>
      <c r="H16" s="398"/>
      <c r="I16" s="398"/>
      <c r="J16" s="398"/>
      <c r="K16" s="398"/>
      <c r="L16" s="398"/>
      <c r="M16" s="398"/>
      <c r="N16" s="398"/>
      <c r="O16" s="383"/>
      <c r="P16" s="383"/>
      <c r="Q16" s="383"/>
      <c r="R16" s="383"/>
      <c r="S16" s="383"/>
    </row>
    <row r="17" spans="2:19" s="382" customFormat="1" x14ac:dyDescent="0.25">
      <c r="O17" s="383"/>
      <c r="P17" s="383"/>
      <c r="Q17" s="383"/>
      <c r="R17" s="383"/>
      <c r="S17" s="383"/>
    </row>
    <row r="18" spans="2:19" s="382" customFormat="1" x14ac:dyDescent="0.25">
      <c r="B18" s="383"/>
      <c r="C18" s="383"/>
      <c r="O18" s="383"/>
      <c r="P18" s="383"/>
      <c r="Q18" s="383"/>
      <c r="R18" s="383"/>
      <c r="S18" s="383"/>
    </row>
    <row r="19" spans="2:19" s="382" customFormat="1" x14ac:dyDescent="0.25">
      <c r="O19" s="383"/>
      <c r="P19" s="383"/>
      <c r="Q19" s="383"/>
      <c r="R19" s="383"/>
      <c r="S19" s="383"/>
    </row>
    <row r="20" spans="2:19" s="382" customFormat="1" x14ac:dyDescent="0.25">
      <c r="C20" s="383"/>
      <c r="O20" s="383"/>
      <c r="P20" s="383"/>
      <c r="Q20" s="383"/>
      <c r="R20" s="383"/>
      <c r="S20" s="383"/>
    </row>
  </sheetData>
  <mergeCells count="1">
    <mergeCell ref="A2:B2"/>
  </mergeCells>
  <printOptions horizontalCentered="1" verticalCentered="1"/>
  <pageMargins left="0.19685039370078741" right="0.19685039370078741" top="0.15748031496062992" bottom="0" header="0.15748031496062992" footer="0.15748031496062992"/>
  <pageSetup paperSize="9" scale="50" orientation="landscape" r:id="rId1"/>
  <headerFooter alignWithMargins="0">
    <oddHeader xml:space="preserve">&amp;R&amp;"-,Félkövér"&amp;12 19. melléklet a 15/2025. (V.30.) önkormányzati rendelethe&amp;"Times New Roman CE,Félkövér"z
"19. melléklet a 4/2025. (II.28) önkormányzati rendelethez"
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/>
  <dimension ref="A2:K62"/>
  <sheetViews>
    <sheetView zoomScale="75" zoomScaleNormal="75" workbookViewId="0">
      <selection activeCell="L1" sqref="L1:Y1048576"/>
    </sheetView>
  </sheetViews>
  <sheetFormatPr defaultRowHeight="15" customHeight="1" x14ac:dyDescent="0.3"/>
  <cols>
    <col min="1" max="1" width="3.1640625" style="14" customWidth="1"/>
    <col min="2" max="2" width="5" style="14" customWidth="1"/>
    <col min="3" max="3" width="107.1640625" style="14" customWidth="1"/>
    <col min="4" max="4" width="29.5" style="14" bestFit="1" customWidth="1"/>
    <col min="5" max="5" width="40" style="14" customWidth="1"/>
    <col min="6" max="6" width="40.1640625" style="14" customWidth="1"/>
    <col min="7" max="7" width="33.6640625" style="14" customWidth="1"/>
    <col min="8" max="8" width="120.6640625" style="14" customWidth="1"/>
    <col min="9" max="9" width="33" style="14" customWidth="1"/>
    <col min="10" max="10" width="39.6640625" style="14" customWidth="1"/>
    <col min="11" max="11" width="40.6640625" style="14" customWidth="1"/>
    <col min="12" max="16384" width="9.33203125" style="14"/>
  </cols>
  <sheetData>
    <row r="2" spans="1:11" ht="18.75" customHeight="1" x14ac:dyDescent="0.35">
      <c r="A2" s="900" t="s">
        <v>397</v>
      </c>
      <c r="B2" s="900"/>
      <c r="C2" s="900"/>
      <c r="D2" s="900"/>
      <c r="E2" s="900"/>
      <c r="F2" s="900"/>
      <c r="G2" s="900"/>
      <c r="H2" s="900"/>
      <c r="I2" s="900"/>
      <c r="J2" s="900"/>
      <c r="K2" s="900"/>
    </row>
    <row r="3" spans="1:11" ht="15" customHeight="1" thickBot="1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  <c r="K3" s="16" t="s">
        <v>206</v>
      </c>
    </row>
    <row r="4" spans="1:11" ht="21" x14ac:dyDescent="0.35">
      <c r="A4" s="459"/>
      <c r="B4" s="61" t="s">
        <v>14</v>
      </c>
      <c r="C4" s="61"/>
      <c r="D4" s="19" t="s">
        <v>564</v>
      </c>
      <c r="E4" s="19" t="s">
        <v>560</v>
      </c>
      <c r="F4" s="19" t="s">
        <v>572</v>
      </c>
      <c r="G4" s="61" t="s">
        <v>15</v>
      </c>
      <c r="H4" s="20"/>
      <c r="I4" s="19" t="s">
        <v>564</v>
      </c>
      <c r="J4" s="19" t="s">
        <v>560</v>
      </c>
      <c r="K4" s="19" t="s">
        <v>572</v>
      </c>
    </row>
    <row r="5" spans="1:11" ht="18.75" x14ac:dyDescent="0.3">
      <c r="A5" s="21"/>
      <c r="B5" s="22"/>
      <c r="C5" s="22"/>
      <c r="D5" s="23" t="s">
        <v>352</v>
      </c>
      <c r="E5" s="23" t="s">
        <v>561</v>
      </c>
      <c r="F5" s="23" t="s">
        <v>352</v>
      </c>
      <c r="G5" s="22"/>
      <c r="I5" s="23" t="s">
        <v>352</v>
      </c>
      <c r="J5" s="23" t="s">
        <v>561</v>
      </c>
      <c r="K5" s="23" t="s">
        <v>352</v>
      </c>
    </row>
    <row r="6" spans="1:11" ht="19.5" thickBot="1" x14ac:dyDescent="0.35">
      <c r="A6" s="24"/>
      <c r="B6" s="25"/>
      <c r="C6" s="25"/>
      <c r="D6" s="26"/>
      <c r="E6" s="26"/>
      <c r="F6" s="26"/>
      <c r="G6" s="27"/>
      <c r="H6" s="28"/>
      <c r="I6" s="26"/>
      <c r="J6" s="26"/>
      <c r="K6" s="26"/>
    </row>
    <row r="7" spans="1:11" ht="23.25" x14ac:dyDescent="0.35">
      <c r="A7" s="499" t="s">
        <v>107</v>
      </c>
      <c r="B7" s="500"/>
      <c r="C7" s="500"/>
      <c r="D7" s="464">
        <f>'3 működési bevételek'!F43</f>
        <v>9612101</v>
      </c>
      <c r="E7" s="464">
        <f>'3 működési bevételek'!G43</f>
        <v>197420</v>
      </c>
      <c r="F7" s="464">
        <f>'3 működési bevételek'!H43</f>
        <v>9809521</v>
      </c>
      <c r="G7" s="500" t="s">
        <v>200</v>
      </c>
      <c r="H7" s="511"/>
      <c r="I7" s="467">
        <f>+'8 oktatás'!B25+'8 oktatás'!B9</f>
        <v>6070061</v>
      </c>
      <c r="J7" s="467">
        <f>+'8 oktatás'!C25+'8 oktatás'!C9</f>
        <v>160140</v>
      </c>
      <c r="K7" s="467">
        <f>'8 oktatás'!D26</f>
        <v>6230201</v>
      </c>
    </row>
    <row r="8" spans="1:11" ht="23.25" x14ac:dyDescent="0.35">
      <c r="A8" s="501" t="s">
        <v>184</v>
      </c>
      <c r="B8" s="487"/>
      <c r="C8" s="487"/>
      <c r="D8" s="465">
        <f>'3 működési bevételek'!F56</f>
        <v>14308000</v>
      </c>
      <c r="E8" s="465">
        <f>'3 működési bevételek'!G56</f>
        <v>2285</v>
      </c>
      <c r="F8" s="465">
        <f>'3 működési bevételek'!H56</f>
        <v>14310285</v>
      </c>
      <c r="G8" s="487" t="s">
        <v>280</v>
      </c>
      <c r="H8" s="512"/>
      <c r="I8" s="468">
        <f>'9 kultúra'!B62</f>
        <v>3102126</v>
      </c>
      <c r="J8" s="468">
        <f>'9 kultúra'!C62</f>
        <v>882613</v>
      </c>
      <c r="K8" s="468">
        <f>'9 kultúra'!D62</f>
        <v>3984739</v>
      </c>
    </row>
    <row r="9" spans="1:11" ht="23.25" x14ac:dyDescent="0.35">
      <c r="A9" s="236" t="s">
        <v>50</v>
      </c>
      <c r="B9" s="502"/>
      <c r="C9" s="502"/>
      <c r="D9" s="466">
        <f>'3 működési bevételek'!F78</f>
        <v>2148686</v>
      </c>
      <c r="E9" s="466">
        <f>'3 működési bevételek'!G78</f>
        <v>1147310</v>
      </c>
      <c r="F9" s="466">
        <f>'3 működési bevételek'!H78</f>
        <v>3295996</v>
      </c>
      <c r="G9" s="502" t="s">
        <v>147</v>
      </c>
      <c r="H9" s="513"/>
      <c r="I9" s="469">
        <f>'10 szociális'!B31</f>
        <v>2203054</v>
      </c>
      <c r="J9" s="469">
        <f>'10 szociális'!C31</f>
        <v>207057</v>
      </c>
      <c r="K9" s="469">
        <f>'10 szociális'!D31</f>
        <v>2410111</v>
      </c>
    </row>
    <row r="10" spans="1:11" ht="23.25" x14ac:dyDescent="0.35">
      <c r="A10" s="236" t="s">
        <v>108</v>
      </c>
      <c r="B10" s="502"/>
      <c r="C10" s="502"/>
      <c r="D10" s="466">
        <f>'3 működési bevételek'!F90</f>
        <v>0</v>
      </c>
      <c r="E10" s="466">
        <f>'3 működési bevételek'!G90</f>
        <v>113297</v>
      </c>
      <c r="F10" s="466">
        <f>'3 működési bevételek'!H90</f>
        <v>113297</v>
      </c>
      <c r="G10" s="502" t="s">
        <v>142</v>
      </c>
      <c r="H10" s="513"/>
      <c r="I10" s="469">
        <f>'11 egészségügy'!B19</f>
        <v>911877</v>
      </c>
      <c r="J10" s="469">
        <f>'11 egészségügy'!C19</f>
        <v>181160</v>
      </c>
      <c r="K10" s="469">
        <f>'11 egészségügy'!D19</f>
        <v>1093037</v>
      </c>
    </row>
    <row r="11" spans="1:11" ht="23.25" x14ac:dyDescent="0.35">
      <c r="A11" s="236" t="s">
        <v>84</v>
      </c>
      <c r="B11" s="502"/>
      <c r="C11" s="502"/>
      <c r="D11" s="466">
        <f>'3 működési bevételek'!F103</f>
        <v>1999313</v>
      </c>
      <c r="E11" s="466">
        <f>'3 működési bevételek'!G103</f>
        <v>30048</v>
      </c>
      <c r="F11" s="466">
        <f>'3 működési bevételek'!H103</f>
        <v>2029361</v>
      </c>
      <c r="G11" s="502" t="s">
        <v>290</v>
      </c>
      <c r="H11" s="513"/>
      <c r="I11" s="469">
        <f>'12 gyermek és ifj.véd.'!B12</f>
        <v>1990106</v>
      </c>
      <c r="J11" s="469">
        <f>'12 gyermek és ifj.véd.'!C12</f>
        <v>17689</v>
      </c>
      <c r="K11" s="469">
        <f>'12 gyermek és ifj.véd.'!D12</f>
        <v>2007795</v>
      </c>
    </row>
    <row r="12" spans="1:11" ht="23.25" x14ac:dyDescent="0.35">
      <c r="A12" s="503"/>
      <c r="B12" s="30"/>
      <c r="C12" s="30"/>
      <c r="D12" s="478"/>
      <c r="E12" s="478"/>
      <c r="F12" s="478"/>
      <c r="G12" s="502" t="s">
        <v>291</v>
      </c>
      <c r="H12" s="514"/>
      <c r="I12" s="469">
        <f>'13 egyéb'!B90</f>
        <v>11738782</v>
      </c>
      <c r="J12" s="469">
        <f>'13 egyéb'!C90</f>
        <v>483472</v>
      </c>
      <c r="K12" s="469">
        <f>'13 egyéb'!D90</f>
        <v>12222254</v>
      </c>
    </row>
    <row r="13" spans="1:11" ht="23.25" x14ac:dyDescent="0.35">
      <c r="A13" s="504"/>
      <c r="B13" s="11"/>
      <c r="C13" s="11"/>
      <c r="D13" s="39"/>
      <c r="E13" s="39"/>
      <c r="F13" s="39"/>
      <c r="G13" s="502" t="s">
        <v>155</v>
      </c>
      <c r="H13" s="515"/>
      <c r="I13" s="469">
        <f>+'14 sport'!B24</f>
        <v>936977</v>
      </c>
      <c r="J13" s="469">
        <f>+'14 sport'!C24</f>
        <v>80519</v>
      </c>
      <c r="K13" s="469">
        <f>+'14 sport'!D24</f>
        <v>1017496</v>
      </c>
    </row>
    <row r="14" spans="1:11" ht="23.25" x14ac:dyDescent="0.35">
      <c r="A14" s="504"/>
      <c r="B14" s="30"/>
      <c r="C14" s="11"/>
      <c r="D14" s="39"/>
      <c r="E14" s="39"/>
      <c r="F14" s="39"/>
      <c r="G14" s="502" t="s">
        <v>93</v>
      </c>
      <c r="H14" s="516"/>
      <c r="I14" s="469">
        <f>+'15 város.ü.'!B26</f>
        <v>1485832</v>
      </c>
      <c r="J14" s="469">
        <f>+'15 város.ü.'!C26</f>
        <v>233825</v>
      </c>
      <c r="K14" s="469">
        <f>+'15 város.ü.'!D26</f>
        <v>1719657</v>
      </c>
    </row>
    <row r="15" spans="1:11" ht="23.25" x14ac:dyDescent="0.35">
      <c r="A15" s="504"/>
      <c r="B15" s="30"/>
      <c r="C15" s="11"/>
      <c r="D15" s="39"/>
      <c r="E15" s="39"/>
      <c r="F15" s="37"/>
      <c r="G15" s="502" t="s">
        <v>190</v>
      </c>
      <c r="H15" s="516"/>
      <c r="I15" s="469">
        <f>+'16 út-híd'!B28</f>
        <v>367300</v>
      </c>
      <c r="J15" s="469">
        <f>+'16 út-híd'!C28</f>
        <v>311672</v>
      </c>
      <c r="K15" s="469">
        <f>+'16 út-híd'!D28</f>
        <v>678972</v>
      </c>
    </row>
    <row r="16" spans="1:11" ht="23.25" x14ac:dyDescent="0.35">
      <c r="A16" s="504"/>
      <c r="B16" s="30"/>
      <c r="C16" s="11"/>
      <c r="D16" s="39"/>
      <c r="E16" s="39"/>
      <c r="F16" s="37"/>
      <c r="G16" s="11" t="s">
        <v>11</v>
      </c>
      <c r="H16" s="517"/>
      <c r="I16" s="470"/>
      <c r="J16" s="470"/>
      <c r="K16" s="470"/>
    </row>
    <row r="17" spans="1:11" ht="23.25" x14ac:dyDescent="0.35">
      <c r="A17" s="200"/>
      <c r="B17" s="73"/>
      <c r="C17" s="73"/>
      <c r="D17" s="43"/>
      <c r="E17" s="43"/>
      <c r="F17" s="37"/>
      <c r="G17" s="11"/>
      <c r="H17" s="487" t="s">
        <v>136</v>
      </c>
      <c r="I17" s="465">
        <v>2245</v>
      </c>
      <c r="J17" s="465">
        <v>-1500</v>
      </c>
      <c r="K17" s="465">
        <f t="shared" ref="K17:K20" si="0">SUM(I17:J17)</f>
        <v>745</v>
      </c>
    </row>
    <row r="18" spans="1:11" ht="42" x14ac:dyDescent="0.35">
      <c r="A18" s="200"/>
      <c r="B18" s="73"/>
      <c r="C18" s="73"/>
      <c r="D18" s="43"/>
      <c r="E18" s="43"/>
      <c r="F18" s="37"/>
      <c r="G18" s="11"/>
      <c r="H18" s="545" t="s">
        <v>557</v>
      </c>
      <c r="I18" s="465">
        <v>142713</v>
      </c>
      <c r="J18" s="466">
        <v>-142713</v>
      </c>
      <c r="K18" s="465">
        <f t="shared" si="0"/>
        <v>0</v>
      </c>
    </row>
    <row r="19" spans="1:11" ht="43.9" customHeight="1" x14ac:dyDescent="0.35">
      <c r="A19" s="200"/>
      <c r="B19" s="73"/>
      <c r="C19" s="73"/>
      <c r="D19" s="43"/>
      <c r="E19" s="43"/>
      <c r="F19" s="43"/>
      <c r="G19" s="11"/>
      <c r="H19" s="545" t="s">
        <v>558</v>
      </c>
      <c r="I19" s="465">
        <v>243763</v>
      </c>
      <c r="J19" s="466">
        <v>-240132</v>
      </c>
      <c r="K19" s="465">
        <f t="shared" si="0"/>
        <v>3631</v>
      </c>
    </row>
    <row r="20" spans="1:11" ht="43.9" customHeight="1" x14ac:dyDescent="0.35">
      <c r="A20" s="200"/>
      <c r="B20" s="73"/>
      <c r="C20" s="73"/>
      <c r="D20" s="43"/>
      <c r="E20" s="43"/>
      <c r="F20" s="43"/>
      <c r="G20" s="11"/>
      <c r="H20" s="545" t="s">
        <v>553</v>
      </c>
      <c r="I20" s="465">
        <v>200000</v>
      </c>
      <c r="J20" s="465">
        <v>65000</v>
      </c>
      <c r="K20" s="465">
        <f t="shared" si="0"/>
        <v>265000</v>
      </c>
    </row>
    <row r="21" spans="1:11" ht="24" thickBot="1" x14ac:dyDescent="0.4">
      <c r="A21" s="505"/>
      <c r="B21" s="506"/>
      <c r="C21" s="507"/>
      <c r="D21" s="44"/>
      <c r="E21" s="44"/>
      <c r="F21" s="44"/>
      <c r="G21" s="518" t="s">
        <v>37</v>
      </c>
      <c r="H21" s="45"/>
      <c r="I21" s="471">
        <f>SUM(I17:I20)</f>
        <v>588721</v>
      </c>
      <c r="J21" s="471">
        <f t="shared" ref="J21:K21" si="1">SUM(J17:J20)</f>
        <v>-319345</v>
      </c>
      <c r="K21" s="471">
        <f t="shared" si="1"/>
        <v>269376</v>
      </c>
    </row>
    <row r="22" spans="1:11" ht="24" thickBot="1" x14ac:dyDescent="0.4">
      <c r="A22" s="508" t="s">
        <v>131</v>
      </c>
      <c r="B22" s="509"/>
      <c r="C22" s="510"/>
      <c r="D22" s="479">
        <f>SUM(D7:D21)</f>
        <v>28068100</v>
      </c>
      <c r="E22" s="479">
        <f>SUM(E7:E21)</f>
        <v>1490360</v>
      </c>
      <c r="F22" s="479">
        <f>SUM(F7:F21)</f>
        <v>29558460</v>
      </c>
      <c r="G22" s="519" t="s">
        <v>152</v>
      </c>
      <c r="H22" s="519"/>
      <c r="I22" s="476">
        <f>+I21+I15+I14+I13+I12+I11+I10+I9+I8+I7</f>
        <v>29394836</v>
      </c>
      <c r="J22" s="476">
        <f>+J21+J15+J14+J13+J12+J11+J10+J9+J8+J7</f>
        <v>2238802</v>
      </c>
      <c r="K22" s="476">
        <f>+K21+K15+K14+K13+K12+K11+K10+K9+K8+K7</f>
        <v>31633638</v>
      </c>
    </row>
    <row r="23" spans="1:11" ht="19.5" thickBot="1" x14ac:dyDescent="0.3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1" ht="18.75" customHeight="1" x14ac:dyDescent="0.35">
      <c r="A24" s="17"/>
      <c r="B24" s="61"/>
      <c r="C24" s="460" t="s">
        <v>57</v>
      </c>
      <c r="D24" s="19" t="s">
        <v>564</v>
      </c>
      <c r="E24" s="19" t="s">
        <v>560</v>
      </c>
      <c r="F24" s="19" t="s">
        <v>572</v>
      </c>
      <c r="G24" s="48"/>
      <c r="H24" s="61" t="s">
        <v>69</v>
      </c>
      <c r="I24" s="19" t="s">
        <v>564</v>
      </c>
      <c r="J24" s="19" t="s">
        <v>560</v>
      </c>
      <c r="K24" s="19" t="s">
        <v>572</v>
      </c>
    </row>
    <row r="25" spans="1:11" ht="18.75" customHeight="1" x14ac:dyDescent="0.3">
      <c r="A25" s="21"/>
      <c r="B25" s="22"/>
      <c r="C25" s="49"/>
      <c r="D25" s="23" t="s">
        <v>352</v>
      </c>
      <c r="E25" s="23" t="s">
        <v>561</v>
      </c>
      <c r="F25" s="23" t="s">
        <v>352</v>
      </c>
      <c r="G25" s="50"/>
      <c r="H25" s="22"/>
      <c r="I25" s="23" t="s">
        <v>352</v>
      </c>
      <c r="J25" s="23" t="s">
        <v>561</v>
      </c>
      <c r="K25" s="23" t="s">
        <v>352</v>
      </c>
    </row>
    <row r="26" spans="1:11" ht="18.75" customHeight="1" thickBot="1" x14ac:dyDescent="0.35">
      <c r="A26" s="24"/>
      <c r="B26" s="25"/>
      <c r="C26" s="51"/>
      <c r="D26" s="26"/>
      <c r="E26" s="26"/>
      <c r="F26" s="26"/>
      <c r="G26" s="27"/>
      <c r="H26" s="28"/>
      <c r="I26" s="26"/>
      <c r="J26" s="26"/>
      <c r="K26" s="26"/>
    </row>
    <row r="27" spans="1:11" ht="23.25" x14ac:dyDescent="0.35">
      <c r="A27" s="520" t="s">
        <v>67</v>
      </c>
      <c r="B27" s="521"/>
      <c r="C27" s="522"/>
      <c r="D27" s="472">
        <f>'17 felhalm.bevétel '!C8</f>
        <v>0</v>
      </c>
      <c r="E27" s="472">
        <f>'17 felhalm.bevétel '!D8</f>
        <v>0</v>
      </c>
      <c r="F27" s="472">
        <f>'17 felhalm.bevétel '!E8</f>
        <v>0</v>
      </c>
      <c r="G27" s="534" t="s">
        <v>161</v>
      </c>
      <c r="H27" s="535"/>
      <c r="I27" s="53"/>
      <c r="J27" s="53"/>
      <c r="K27" s="53"/>
    </row>
    <row r="28" spans="1:11" ht="23.25" x14ac:dyDescent="0.35">
      <c r="A28" s="523" t="s">
        <v>66</v>
      </c>
      <c r="B28" s="516"/>
      <c r="C28" s="524"/>
      <c r="D28" s="469">
        <f>'17 felhalm.bevétel '!C11</f>
        <v>1000000</v>
      </c>
      <c r="E28" s="469">
        <f>'17 felhalm.bevétel '!D11</f>
        <v>0</v>
      </c>
      <c r="F28" s="469">
        <f>'17 felhalm.bevétel '!E11</f>
        <v>1000000</v>
      </c>
      <c r="G28" s="487" t="s">
        <v>200</v>
      </c>
      <c r="H28" s="536"/>
      <c r="I28" s="33">
        <f>+'8 oktatás'!B33</f>
        <v>0</v>
      </c>
      <c r="J28" s="33">
        <f>+'8 oktatás'!C33</f>
        <v>61290</v>
      </c>
      <c r="K28" s="33">
        <f>+'8 oktatás'!D33</f>
        <v>61290</v>
      </c>
    </row>
    <row r="29" spans="1:11" ht="23.25" x14ac:dyDescent="0.35">
      <c r="A29" s="523" t="s">
        <v>68</v>
      </c>
      <c r="B29" s="524"/>
      <c r="C29" s="525"/>
      <c r="D29" s="469">
        <f>'17 felhalm.bevétel '!C18</f>
        <v>8000</v>
      </c>
      <c r="E29" s="469">
        <f>'17 felhalm.bevétel '!D18</f>
        <v>130688</v>
      </c>
      <c r="F29" s="469">
        <f>'17 felhalm.bevétel '!E18</f>
        <v>138688</v>
      </c>
      <c r="G29" s="502" t="s">
        <v>280</v>
      </c>
      <c r="H29" s="537"/>
      <c r="I29" s="36">
        <f>'9 kultúra'!B72</f>
        <v>0</v>
      </c>
      <c r="J29" s="36">
        <f>'9 kultúra'!C72</f>
        <v>62271</v>
      </c>
      <c r="K29" s="36">
        <f>'9 kultúra'!D72</f>
        <v>62271</v>
      </c>
    </row>
    <row r="30" spans="1:11" ht="23.25" x14ac:dyDescent="0.35">
      <c r="A30" s="236" t="s">
        <v>85</v>
      </c>
      <c r="B30" s="502"/>
      <c r="C30" s="502"/>
      <c r="D30" s="469">
        <f>'17 felhalm.bevétel '!C27</f>
        <v>0</v>
      </c>
      <c r="E30" s="469">
        <f>'17 felhalm.bevétel '!D27</f>
        <v>35</v>
      </c>
      <c r="F30" s="469">
        <f>'17 felhalm.bevétel '!E27</f>
        <v>35</v>
      </c>
      <c r="G30" s="502" t="s">
        <v>147</v>
      </c>
      <c r="H30" s="537"/>
      <c r="I30" s="36">
        <f>'10 szociális'!B36</f>
        <v>0</v>
      </c>
      <c r="J30" s="33">
        <f>'10 szociális'!C36</f>
        <v>27817</v>
      </c>
      <c r="K30" s="36">
        <f>'10 szociális'!D36</f>
        <v>27817</v>
      </c>
    </row>
    <row r="31" spans="1:11" ht="23.25" x14ac:dyDescent="0.35">
      <c r="A31" s="526"/>
      <c r="B31" s="522"/>
      <c r="C31" s="522"/>
      <c r="D31" s="473"/>
      <c r="E31" s="473"/>
      <c r="F31" s="474"/>
      <c r="G31" s="502" t="s">
        <v>142</v>
      </c>
      <c r="H31" s="537"/>
      <c r="I31" s="36">
        <f>'11 egészségügy'!B26</f>
        <v>0</v>
      </c>
      <c r="J31" s="33">
        <f>'11 egészségügy'!C26</f>
        <v>6532</v>
      </c>
      <c r="K31" s="36">
        <f>'11 egészségügy'!D26</f>
        <v>6532</v>
      </c>
    </row>
    <row r="32" spans="1:11" ht="23.25" x14ac:dyDescent="0.35">
      <c r="A32" s="526"/>
      <c r="B32" s="522"/>
      <c r="C32" s="522"/>
      <c r="D32" s="473"/>
      <c r="E32" s="473"/>
      <c r="F32" s="474"/>
      <c r="G32" s="502" t="s">
        <v>290</v>
      </c>
      <c r="H32" s="537"/>
      <c r="I32" s="36">
        <f>'12 gyermek és ifj.véd.'!B17</f>
        <v>700</v>
      </c>
      <c r="J32" s="33">
        <f>'12 gyermek és ifj.véd.'!C17</f>
        <v>22554</v>
      </c>
      <c r="K32" s="36">
        <f>'12 gyermek és ifj.véd.'!D17</f>
        <v>23254</v>
      </c>
    </row>
    <row r="33" spans="1:11" ht="24" thickBot="1" x14ac:dyDescent="0.4">
      <c r="A33" s="527"/>
      <c r="B33" s="528"/>
      <c r="C33" s="528"/>
      <c r="D33" s="480"/>
      <c r="E33" s="480"/>
      <c r="F33" s="481"/>
      <c r="G33" s="502" t="s">
        <v>291</v>
      </c>
      <c r="H33" s="537"/>
      <c r="I33" s="36">
        <f>'13 egyéb'!B97</f>
        <v>72163</v>
      </c>
      <c r="J33" s="33">
        <f>'13 egyéb'!C97</f>
        <v>28855</v>
      </c>
      <c r="K33" s="36">
        <f>'13 egyéb'!D97</f>
        <v>101018</v>
      </c>
    </row>
    <row r="34" spans="1:11" ht="24" thickBot="1" x14ac:dyDescent="0.4">
      <c r="A34" s="527"/>
      <c r="B34" s="528"/>
      <c r="C34" s="528"/>
      <c r="D34" s="480"/>
      <c r="E34" s="480"/>
      <c r="F34" s="481"/>
      <c r="G34" s="538" t="s">
        <v>162</v>
      </c>
      <c r="H34" s="539"/>
      <c r="I34" s="46">
        <f>SUM(I27:I33)</f>
        <v>72863</v>
      </c>
      <c r="J34" s="46">
        <f>SUM(J27:J33)</f>
        <v>209319</v>
      </c>
      <c r="K34" s="46">
        <f>SUM(K27:K33)</f>
        <v>282182</v>
      </c>
    </row>
    <row r="35" spans="1:11" ht="23.25" x14ac:dyDescent="0.35">
      <c r="A35" s="504"/>
      <c r="B35" s="30"/>
      <c r="C35" s="30"/>
      <c r="D35" s="478"/>
      <c r="E35" s="478"/>
      <c r="F35" s="474"/>
      <c r="G35" s="11" t="s">
        <v>129</v>
      </c>
      <c r="H35" s="521"/>
      <c r="I35" s="52">
        <f>+'18 felhalm.kiadás'!C10</f>
        <v>50000</v>
      </c>
      <c r="J35" s="52">
        <f>+'18 felhalm.kiadás'!D10</f>
        <v>88755</v>
      </c>
      <c r="K35" s="52">
        <f>+'18 felhalm.kiadás'!E10</f>
        <v>138755</v>
      </c>
    </row>
    <row r="36" spans="1:11" ht="23.25" x14ac:dyDescent="0.35">
      <c r="A36" s="504"/>
      <c r="B36" s="30"/>
      <c r="C36" s="30"/>
      <c r="D36" s="478"/>
      <c r="E36" s="478"/>
      <c r="F36" s="474"/>
      <c r="G36" s="502" t="s">
        <v>157</v>
      </c>
      <c r="H36" s="516"/>
      <c r="I36" s="36">
        <f>'18 felhalm.kiadás'!C13</f>
        <v>100000</v>
      </c>
      <c r="J36" s="36">
        <f>'18 felhalm.kiadás'!D13</f>
        <v>0</v>
      </c>
      <c r="K36" s="36">
        <f>'18 felhalm.kiadás'!E13</f>
        <v>100000</v>
      </c>
    </row>
    <row r="37" spans="1:11" ht="23.25" x14ac:dyDescent="0.35">
      <c r="A37" s="504"/>
      <c r="B37" s="30"/>
      <c r="C37" s="30"/>
      <c r="D37" s="478"/>
      <c r="E37" s="478"/>
      <c r="F37" s="474"/>
      <c r="G37" s="502" t="s">
        <v>169</v>
      </c>
      <c r="H37" s="515"/>
      <c r="I37" s="36">
        <f>+'18 felhalm.kiadás'!C16</f>
        <v>0</v>
      </c>
      <c r="J37" s="36">
        <f>+'18 felhalm.kiadás'!D16</f>
        <v>0</v>
      </c>
      <c r="K37" s="36">
        <f>+'18 felhalm.kiadás'!E16</f>
        <v>0</v>
      </c>
    </row>
    <row r="38" spans="1:11" ht="23.25" x14ac:dyDescent="0.35">
      <c r="A38" s="529"/>
      <c r="B38" s="530"/>
      <c r="C38" s="30"/>
      <c r="D38" s="478"/>
      <c r="E38" s="478"/>
      <c r="F38" s="474"/>
      <c r="G38" s="502" t="s">
        <v>174</v>
      </c>
      <c r="H38" s="515"/>
      <c r="I38" s="36">
        <f>+'18 felhalm.kiadás'!C20</f>
        <v>55000</v>
      </c>
      <c r="J38" s="36">
        <f>+'18 felhalm.kiadás'!D20</f>
        <v>0</v>
      </c>
      <c r="K38" s="36">
        <f>+'18 felhalm.kiadás'!E20</f>
        <v>55000</v>
      </c>
    </row>
    <row r="39" spans="1:11" ht="23.25" x14ac:dyDescent="0.35">
      <c r="A39" s="529"/>
      <c r="B39" s="530"/>
      <c r="C39" s="531"/>
      <c r="D39" s="482"/>
      <c r="E39" s="482"/>
      <c r="F39" s="474"/>
      <c r="G39" s="502" t="s">
        <v>140</v>
      </c>
      <c r="H39" s="515"/>
      <c r="I39" s="36">
        <f>+'18 felhalm.kiadás'!C46</f>
        <v>90542</v>
      </c>
      <c r="J39" s="36">
        <f>+'18 felhalm.kiadás'!D46</f>
        <v>1210490</v>
      </c>
      <c r="K39" s="36">
        <f>+'18 felhalm.kiadás'!E46</f>
        <v>1301032</v>
      </c>
    </row>
    <row r="40" spans="1:11" ht="23.25" x14ac:dyDescent="0.35">
      <c r="A40" s="503"/>
      <c r="B40" s="532"/>
      <c r="C40" s="531"/>
      <c r="D40" s="482"/>
      <c r="E40" s="482"/>
      <c r="F40" s="474"/>
      <c r="G40" s="502" t="s">
        <v>384</v>
      </c>
      <c r="H40" s="502"/>
      <c r="I40" s="36">
        <f>+'18 felhalm.kiadás'!C49</f>
        <v>0</v>
      </c>
      <c r="J40" s="36">
        <f>+'18 felhalm.kiadás'!D49</f>
        <v>0</v>
      </c>
      <c r="K40" s="36">
        <f>+'18 felhalm.kiadás'!E49</f>
        <v>0</v>
      </c>
    </row>
    <row r="41" spans="1:11" ht="23.25" x14ac:dyDescent="0.35">
      <c r="A41" s="503"/>
      <c r="B41" s="532"/>
      <c r="C41" s="531"/>
      <c r="D41" s="482"/>
      <c r="E41" s="482"/>
      <c r="F41" s="474"/>
      <c r="G41" s="502" t="s">
        <v>34</v>
      </c>
      <c r="H41" s="502"/>
      <c r="I41" s="36">
        <f>'18 felhalm.kiadás'!C50</f>
        <v>1200</v>
      </c>
      <c r="J41" s="36">
        <f>'18 felhalm.kiadás'!D50</f>
        <v>0</v>
      </c>
      <c r="K41" s="36">
        <f>'18 felhalm.kiadás'!E50</f>
        <v>1200</v>
      </c>
    </row>
    <row r="42" spans="1:11" ht="24" thickBot="1" x14ac:dyDescent="0.4">
      <c r="A42" s="503"/>
      <c r="B42" s="532"/>
      <c r="C42" s="531"/>
      <c r="D42" s="483"/>
      <c r="E42" s="483"/>
      <c r="F42" s="483"/>
      <c r="G42" s="540" t="s">
        <v>163</v>
      </c>
      <c r="H42" s="541"/>
      <c r="I42" s="57">
        <f>SUM(I35:I41)</f>
        <v>296742</v>
      </c>
      <c r="J42" s="57">
        <f>SUM(J35:J41)</f>
        <v>1299245</v>
      </c>
      <c r="K42" s="57">
        <f>SUM(K35:K41)</f>
        <v>1595987</v>
      </c>
    </row>
    <row r="43" spans="1:11" ht="24" thickBot="1" x14ac:dyDescent="0.4">
      <c r="A43" s="198" t="s">
        <v>153</v>
      </c>
      <c r="B43" s="198"/>
      <c r="C43" s="533"/>
      <c r="D43" s="477">
        <f>SUM(D27:D42)</f>
        <v>1008000</v>
      </c>
      <c r="E43" s="477">
        <f>SUM(E27:E42)</f>
        <v>130723</v>
      </c>
      <c r="F43" s="477">
        <f>SUM(F27:F42)</f>
        <v>1138723</v>
      </c>
      <c r="G43" s="542" t="s">
        <v>154</v>
      </c>
      <c r="H43" s="542"/>
      <c r="I43" s="58">
        <f>+I42+I34</f>
        <v>369605</v>
      </c>
      <c r="J43" s="58">
        <f>+J42+J34</f>
        <v>1508564</v>
      </c>
      <c r="K43" s="58">
        <f>+K42+K34</f>
        <v>1878169</v>
      </c>
    </row>
    <row r="44" spans="1:11" ht="18.75" customHeight="1" thickBot="1" x14ac:dyDescent="0.4">
      <c r="A44" s="47"/>
      <c r="B44" s="47"/>
      <c r="C44" s="59"/>
      <c r="D44" s="60"/>
      <c r="E44" s="60"/>
      <c r="F44" s="60"/>
      <c r="G44" s="18"/>
      <c r="H44" s="18"/>
      <c r="I44" s="61"/>
      <c r="J44" s="61"/>
      <c r="K44" s="61"/>
    </row>
    <row r="45" spans="1:11" ht="23.25" x14ac:dyDescent="0.35">
      <c r="A45" s="62" t="s">
        <v>145</v>
      </c>
      <c r="B45" s="461"/>
      <c r="C45" s="462"/>
      <c r="D45" s="484"/>
      <c r="E45" s="484"/>
      <c r="F45" s="484"/>
      <c r="G45" s="463" t="s">
        <v>145</v>
      </c>
      <c r="H45" s="63"/>
      <c r="I45" s="64"/>
      <c r="J45" s="64"/>
      <c r="K45" s="64"/>
    </row>
    <row r="46" spans="1:11" ht="23.25" x14ac:dyDescent="0.35">
      <c r="A46" s="41"/>
      <c r="B46" s="30"/>
      <c r="C46" s="554" t="s">
        <v>97</v>
      </c>
      <c r="D46" s="475">
        <v>633414</v>
      </c>
      <c r="E46" s="475">
        <f>-633414+2526202-1456893</f>
        <v>435895</v>
      </c>
      <c r="F46" s="475">
        <f t="shared" ref="F46:F51" si="2">SUM(D46:E46)</f>
        <v>1069309</v>
      </c>
      <c r="G46" s="491" t="s">
        <v>373</v>
      </c>
      <c r="H46" s="491"/>
      <c r="I46" s="468">
        <v>120750</v>
      </c>
      <c r="J46" s="468"/>
      <c r="K46" s="468">
        <f>SUM(I46:J46)</f>
        <v>120750</v>
      </c>
    </row>
    <row r="47" spans="1:11" ht="23.25" x14ac:dyDescent="0.35">
      <c r="A47" s="41"/>
      <c r="B47" s="30"/>
      <c r="C47" s="555" t="s">
        <v>469</v>
      </c>
      <c r="D47" s="475">
        <v>76672</v>
      </c>
      <c r="E47" s="475">
        <v>-76672</v>
      </c>
      <c r="F47" s="475">
        <f t="shared" si="2"/>
        <v>0</v>
      </c>
      <c r="G47" s="491" t="s">
        <v>506</v>
      </c>
      <c r="H47" s="491"/>
      <c r="I47" s="468">
        <v>281004</v>
      </c>
      <c r="J47" s="468"/>
      <c r="K47" s="468">
        <f>SUM(I47:J47)</f>
        <v>281004</v>
      </c>
    </row>
    <row r="48" spans="1:11" ht="42" x14ac:dyDescent="0.35">
      <c r="A48" s="41"/>
      <c r="B48" s="30"/>
      <c r="C48" s="554" t="s">
        <v>505</v>
      </c>
      <c r="D48" s="475">
        <v>281004</v>
      </c>
      <c r="E48" s="475">
        <v>-281004</v>
      </c>
      <c r="F48" s="475">
        <f t="shared" si="2"/>
        <v>0</v>
      </c>
      <c r="G48" s="491"/>
      <c r="H48" s="492"/>
      <c r="I48" s="468"/>
      <c r="J48" s="468"/>
      <c r="K48" s="468"/>
    </row>
    <row r="49" spans="1:11" ht="23.25" x14ac:dyDescent="0.35">
      <c r="A49" s="41"/>
      <c r="B49" s="30"/>
      <c r="C49" s="543" t="s">
        <v>124</v>
      </c>
      <c r="D49" s="475">
        <v>33463</v>
      </c>
      <c r="E49" s="475">
        <f>-33463+1456893</f>
        <v>1423430</v>
      </c>
      <c r="F49" s="475">
        <f t="shared" si="2"/>
        <v>1456893</v>
      </c>
      <c r="G49" s="491"/>
      <c r="H49" s="491"/>
      <c r="I49" s="468"/>
      <c r="J49" s="468"/>
      <c r="K49" s="468"/>
    </row>
    <row r="50" spans="1:11" ht="23.25" x14ac:dyDescent="0.35">
      <c r="A50" s="41"/>
      <c r="B50" s="30"/>
      <c r="C50" s="543" t="s">
        <v>470</v>
      </c>
      <c r="D50" s="475">
        <v>65542</v>
      </c>
      <c r="E50" s="475">
        <v>-65542</v>
      </c>
      <c r="F50" s="475">
        <f t="shared" si="2"/>
        <v>0</v>
      </c>
      <c r="G50" s="491"/>
      <c r="H50" s="491"/>
      <c r="I50" s="468"/>
      <c r="J50" s="468"/>
      <c r="K50" s="468"/>
    </row>
    <row r="51" spans="1:11" ht="21" customHeight="1" thickBot="1" x14ac:dyDescent="0.4">
      <c r="A51" s="41"/>
      <c r="B51" s="30"/>
      <c r="C51" s="543" t="s">
        <v>262</v>
      </c>
      <c r="D51" s="475"/>
      <c r="E51" s="475">
        <v>690176</v>
      </c>
      <c r="F51" s="475">
        <f t="shared" si="2"/>
        <v>690176</v>
      </c>
      <c r="G51" s="491"/>
      <c r="H51" s="491"/>
      <c r="I51" s="468"/>
      <c r="J51" s="468"/>
      <c r="K51" s="468"/>
    </row>
    <row r="52" spans="1:11" ht="24" thickBot="1" x14ac:dyDescent="0.4">
      <c r="A52" s="65" t="s">
        <v>119</v>
      </c>
      <c r="B52" s="533"/>
      <c r="C52" s="66"/>
      <c r="D52" s="485">
        <f>SUM(D45:D51)</f>
        <v>1090095</v>
      </c>
      <c r="E52" s="485">
        <f>SUM(E45:E51)</f>
        <v>2126283</v>
      </c>
      <c r="F52" s="485">
        <f>SUM(F45:F51)</f>
        <v>3216378</v>
      </c>
      <c r="G52" s="494" t="s">
        <v>119</v>
      </c>
      <c r="H52" s="495"/>
      <c r="I52" s="476">
        <f>SUM(I45:I51)</f>
        <v>401754</v>
      </c>
      <c r="J52" s="476">
        <f>SUM(J45:J51)</f>
        <v>0</v>
      </c>
      <c r="K52" s="476">
        <f>SUM(K45:K51)</f>
        <v>401754</v>
      </c>
    </row>
    <row r="53" spans="1:11" ht="23.25" x14ac:dyDescent="0.35">
      <c r="A53" s="41"/>
      <c r="B53" s="69"/>
      <c r="C53" s="69"/>
      <c r="D53" s="484"/>
      <c r="E53" s="484"/>
      <c r="F53" s="484"/>
      <c r="G53" s="493"/>
      <c r="H53" s="493"/>
      <c r="I53" s="496"/>
      <c r="J53" s="496"/>
      <c r="K53" s="496"/>
    </row>
    <row r="54" spans="1:11" ht="24" thickBot="1" x14ac:dyDescent="0.4">
      <c r="A54" s="67"/>
      <c r="B54" s="490"/>
      <c r="C54" s="490"/>
      <c r="D54" s="486"/>
      <c r="E54" s="486"/>
      <c r="F54" s="486"/>
      <c r="G54" s="497"/>
      <c r="H54" s="498"/>
      <c r="I54" s="486"/>
      <c r="J54" s="486"/>
      <c r="K54" s="486"/>
    </row>
    <row r="55" spans="1:11" ht="24" thickBot="1" x14ac:dyDescent="0.4">
      <c r="A55" s="544" t="s">
        <v>146</v>
      </c>
      <c r="B55" s="533"/>
      <c r="C55" s="533"/>
      <c r="D55" s="477">
        <f>+D52+D43+D22</f>
        <v>30166195</v>
      </c>
      <c r="E55" s="477">
        <f>+E52+E43+E22</f>
        <v>3747366</v>
      </c>
      <c r="F55" s="477">
        <f>+F52+F43+F22</f>
        <v>33913561</v>
      </c>
      <c r="G55" s="488" t="s">
        <v>118</v>
      </c>
      <c r="H55" s="489"/>
      <c r="I55" s="476">
        <f>+I52+I43+I22</f>
        <v>30166195</v>
      </c>
      <c r="J55" s="476">
        <f>+J52+J43+J22</f>
        <v>3747366</v>
      </c>
      <c r="K55" s="476">
        <f>+K52+K43+K22</f>
        <v>33913561</v>
      </c>
    </row>
    <row r="57" spans="1:11" ht="21" x14ac:dyDescent="0.35">
      <c r="C57" s="74"/>
      <c r="D57" s="30"/>
      <c r="E57" s="30"/>
      <c r="F57" s="30"/>
      <c r="G57" s="30"/>
      <c r="H57" s="30"/>
      <c r="I57" s="30"/>
    </row>
    <row r="58" spans="1:11" ht="21" x14ac:dyDescent="0.35">
      <c r="C58" s="74"/>
      <c r="D58" s="30"/>
      <c r="E58" s="30"/>
      <c r="F58" s="30"/>
      <c r="G58" s="30"/>
      <c r="H58" s="30"/>
      <c r="I58" s="30"/>
    </row>
    <row r="59" spans="1:11" ht="21" x14ac:dyDescent="0.35">
      <c r="C59" s="74"/>
      <c r="D59" s="30"/>
      <c r="E59" s="30"/>
      <c r="F59" s="30"/>
      <c r="G59" s="30"/>
      <c r="H59" s="71"/>
    </row>
    <row r="60" spans="1:11" ht="21" x14ac:dyDescent="0.35">
      <c r="G60" s="30"/>
      <c r="H60" s="69"/>
    </row>
    <row r="61" spans="1:11" ht="21" x14ac:dyDescent="0.35">
      <c r="G61" s="30"/>
    </row>
    <row r="62" spans="1:11" ht="14.1" customHeight="1" x14ac:dyDescent="0.3"/>
  </sheetData>
  <customSheetViews>
    <customSheetView guid="{6D4B996F-8915-4E78-98C2-E7EAE9C4580C}" scale="75" showRuler="0" topLeftCell="A49">
      <selection activeCell="J61" sqref="J61"/>
      <pageMargins left="0" right="0" top="0" bottom="0" header="0.11811023622047245" footer="7.874015748031496E-2"/>
      <printOptions horizontalCentered="1" verticalCentered="1"/>
      <pageSetup paperSize="9" scale="55" orientation="landscape" horizontalDpi="300" verticalDpi="300" r:id="rId1"/>
      <headerFooter alignWithMargins="0">
        <oddHeader>&amp;L&amp;D&amp;T&amp;R&amp;"Times New Roman CE,Félkövér"&amp;16I.sz.melléklet</oddHeader>
      </headerFooter>
    </customSheetView>
    <customSheetView guid="{186732C5-520C-4E06-B066-B4F3F0A3E322}" scale="75" showRuler="0" topLeftCell="A49">
      <selection activeCell="J61" sqref="J61"/>
      <pageMargins left="0" right="0" top="0" bottom="0" header="0.11811023622047245" footer="7.874015748031496E-2"/>
      <printOptions horizontalCentered="1" verticalCentered="1"/>
      <pageSetup paperSize="9" scale="55" orientation="landscape" horizontalDpi="300" verticalDpi="300" r:id="rId2"/>
      <headerFooter alignWithMargins="0">
        <oddHeader>&amp;L&amp;D&amp;T&amp;R&amp;"Times New Roman CE,Félkövér"&amp;16I.sz.melléklet</oddHeader>
      </headerFooter>
    </customSheetView>
  </customSheetViews>
  <mergeCells count="1">
    <mergeCell ref="A2:K2"/>
  </mergeCells>
  <phoneticPr fontId="0" type="noConversion"/>
  <printOptions horizontalCentered="1" verticalCentered="1"/>
  <pageMargins left="0" right="0" top="0" bottom="0" header="0.39370078740157483" footer="0"/>
  <pageSetup paperSize="9" scale="35" orientation="landscape" r:id="rId3"/>
  <headerFooter alignWithMargins="0">
    <oddHeader xml:space="preserve">&amp;R&amp;"Times New Roman CE,Félkövér"&amp;18
&amp;"-,Félkövér"2. melléklet a 15/2025. (V.30.) önkormányzati rendelethez
"2. melléklet a 4/2025. (II.28) önkormányzati rendelethez"&amp;"Times New Roman CE,Félkövér"
 </oddHeader>
    <oddFooter>&amp;L&amp;14&amp;D&amp;T</oddFooter>
  </headerFooter>
  <rowBreaks count="2" manualBreakCount="2">
    <brk id="22" max="10" man="1"/>
    <brk id="55" max="10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31"/>
  <sheetViews>
    <sheetView tabSelected="1" topLeftCell="A2" zoomScale="85" zoomScaleNormal="85" workbookViewId="0">
      <selection activeCell="A30" sqref="A30"/>
    </sheetView>
  </sheetViews>
  <sheetFormatPr defaultRowHeight="15.75" x14ac:dyDescent="0.25"/>
  <cols>
    <col min="1" max="1" width="102.83203125" style="382" customWidth="1"/>
    <col min="2" max="2" width="26.83203125" style="382" bestFit="1" customWidth="1"/>
    <col min="3" max="3" width="28" style="382" bestFit="1" customWidth="1"/>
    <col min="4" max="5" width="21.6640625" style="382" bestFit="1" customWidth="1"/>
    <col min="6" max="14" width="20.83203125" style="382" customWidth="1"/>
    <col min="15" max="16384" width="9.33203125" style="382"/>
  </cols>
  <sheetData>
    <row r="1" spans="1:14" ht="21" x14ac:dyDescent="0.35">
      <c r="A1" s="175" t="s">
        <v>576</v>
      </c>
      <c r="B1" s="381"/>
      <c r="C1" s="381"/>
      <c r="D1" s="381"/>
      <c r="E1" s="401"/>
      <c r="F1" s="381"/>
      <c r="G1" s="381"/>
      <c r="H1" s="381"/>
      <c r="I1" s="381"/>
      <c r="J1" s="381"/>
      <c r="K1" s="381"/>
      <c r="L1" s="381"/>
      <c r="M1" s="381"/>
      <c r="N1" s="381"/>
    </row>
    <row r="2" spans="1:14" x14ac:dyDescent="0.25">
      <c r="A2" s="969"/>
      <c r="B2" s="969"/>
    </row>
    <row r="3" spans="1:14" ht="16.5" thickBot="1" x14ac:dyDescent="0.3">
      <c r="N3" s="382" t="s">
        <v>353</v>
      </c>
    </row>
    <row r="4" spans="1:14" ht="20.100000000000001" customHeight="1" x14ac:dyDescent="0.25">
      <c r="A4" s="384" t="s">
        <v>229</v>
      </c>
      <c r="B4" s="385" t="s">
        <v>221</v>
      </c>
      <c r="C4" s="385" t="s">
        <v>170</v>
      </c>
      <c r="D4" s="385" t="s">
        <v>171</v>
      </c>
      <c r="E4" s="385" t="s">
        <v>172</v>
      </c>
      <c r="F4" s="385" t="s">
        <v>173</v>
      </c>
      <c r="G4" s="385" t="s">
        <v>175</v>
      </c>
      <c r="H4" s="385" t="s">
        <v>176</v>
      </c>
      <c r="I4" s="385" t="s">
        <v>177</v>
      </c>
      <c r="J4" s="385" t="s">
        <v>178</v>
      </c>
      <c r="K4" s="385" t="s">
        <v>215</v>
      </c>
      <c r="L4" s="385" t="s">
        <v>216</v>
      </c>
      <c r="M4" s="385" t="s">
        <v>217</v>
      </c>
      <c r="N4" s="385" t="s">
        <v>218</v>
      </c>
    </row>
    <row r="5" spans="1:14" ht="20.100000000000001" customHeight="1" x14ac:dyDescent="0.25">
      <c r="A5" s="386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</row>
    <row r="6" spans="1:14" ht="67.5" customHeight="1" thickBot="1" x14ac:dyDescent="0.3">
      <c r="A6" s="388"/>
      <c r="B6" s="389" t="s">
        <v>230</v>
      </c>
      <c r="C6" s="389" t="s">
        <v>223</v>
      </c>
      <c r="D6" s="389" t="s">
        <v>223</v>
      </c>
      <c r="E6" s="389" t="s">
        <v>223</v>
      </c>
      <c r="F6" s="389" t="s">
        <v>223</v>
      </c>
      <c r="G6" s="389" t="s">
        <v>223</v>
      </c>
      <c r="H6" s="389" t="s">
        <v>223</v>
      </c>
      <c r="I6" s="389" t="s">
        <v>223</v>
      </c>
      <c r="J6" s="389" t="s">
        <v>223</v>
      </c>
      <c r="K6" s="389" t="s">
        <v>223</v>
      </c>
      <c r="L6" s="389" t="s">
        <v>223</v>
      </c>
      <c r="M6" s="389" t="s">
        <v>223</v>
      </c>
      <c r="N6" s="389" t="s">
        <v>223</v>
      </c>
    </row>
    <row r="7" spans="1:14" ht="24" customHeight="1" x14ac:dyDescent="0.3">
      <c r="A7" s="561" t="s">
        <v>231</v>
      </c>
      <c r="B7" s="562">
        <f>'1 kiemelt ei. '!N13</f>
        <v>31653591</v>
      </c>
      <c r="C7" s="562">
        <f>2443641-600000+3631</f>
        <v>1847272</v>
      </c>
      <c r="D7" s="562">
        <f>2443641-1220000-100000</f>
        <v>1123641</v>
      </c>
      <c r="E7" s="562">
        <f>2443641+255000</f>
        <v>2698641</v>
      </c>
      <c r="F7" s="562">
        <v>2443641</v>
      </c>
      <c r="G7" s="562">
        <f>2443641+282347+300000+525000</f>
        <v>3550988</v>
      </c>
      <c r="H7" s="562">
        <f>2443641</f>
        <v>2443641</v>
      </c>
      <c r="I7" s="562">
        <f>2443641+282344+268000</f>
        <v>2993985</v>
      </c>
      <c r="J7" s="562">
        <f>2443641+282344</f>
        <v>2725985</v>
      </c>
      <c r="K7" s="562">
        <f>2443641+800000+7000+282344</f>
        <v>3532985</v>
      </c>
      <c r="L7" s="562">
        <f>2443641+765000+100000+282344</f>
        <v>3590985</v>
      </c>
      <c r="M7" s="562">
        <f>2443641+95141-34625+282344-192656-618000</f>
        <v>1975845</v>
      </c>
      <c r="N7" s="562">
        <f>2443641-3+282344</f>
        <v>2725982</v>
      </c>
    </row>
    <row r="8" spans="1:14" ht="24" customHeight="1" thickBot="1" x14ac:dyDescent="0.35">
      <c r="A8" s="563" t="s">
        <v>232</v>
      </c>
      <c r="B8" s="564">
        <f>'1 kiemelt ei. '!N17</f>
        <v>1858216</v>
      </c>
      <c r="C8" s="564"/>
      <c r="D8" s="564"/>
      <c r="E8" s="564"/>
      <c r="F8" s="564">
        <v>65542</v>
      </c>
      <c r="G8" s="564">
        <v>115000</v>
      </c>
      <c r="H8" s="564">
        <v>309145</v>
      </c>
      <c r="I8" s="564">
        <v>242365</v>
      </c>
      <c r="J8" s="564">
        <v>192625</v>
      </c>
      <c r="K8" s="564">
        <f>89063+183400</f>
        <v>272463</v>
      </c>
      <c r="L8" s="564">
        <f>100000+185000</f>
        <v>285000</v>
      </c>
      <c r="M8" s="564">
        <v>190000</v>
      </c>
      <c r="N8" s="564">
        <v>186076</v>
      </c>
    </row>
    <row r="9" spans="1:14" s="391" customFormat="1" ht="24" customHeight="1" thickBot="1" x14ac:dyDescent="0.35">
      <c r="A9" s="397" t="s">
        <v>233</v>
      </c>
      <c r="B9" s="393">
        <f t="shared" ref="B9:N9" si="0">B7+B8</f>
        <v>33511807</v>
      </c>
      <c r="C9" s="393">
        <f t="shared" si="0"/>
        <v>1847272</v>
      </c>
      <c r="D9" s="393">
        <f t="shared" si="0"/>
        <v>1123641</v>
      </c>
      <c r="E9" s="393">
        <f t="shared" si="0"/>
        <v>2698641</v>
      </c>
      <c r="F9" s="393">
        <f t="shared" si="0"/>
        <v>2509183</v>
      </c>
      <c r="G9" s="393">
        <f t="shared" si="0"/>
        <v>3665988</v>
      </c>
      <c r="H9" s="393">
        <f t="shared" si="0"/>
        <v>2752786</v>
      </c>
      <c r="I9" s="393">
        <f t="shared" si="0"/>
        <v>3236350</v>
      </c>
      <c r="J9" s="393">
        <f t="shared" si="0"/>
        <v>2918610</v>
      </c>
      <c r="K9" s="393">
        <f>K7+K8</f>
        <v>3805448</v>
      </c>
      <c r="L9" s="393">
        <f t="shared" si="0"/>
        <v>3875985</v>
      </c>
      <c r="M9" s="393">
        <f t="shared" si="0"/>
        <v>2165845</v>
      </c>
      <c r="N9" s="393">
        <f t="shared" si="0"/>
        <v>2912058</v>
      </c>
    </row>
    <row r="10" spans="1:14" ht="49.5" customHeight="1" thickBot="1" x14ac:dyDescent="0.35">
      <c r="A10" s="565" t="s">
        <v>234</v>
      </c>
      <c r="B10" s="395">
        <f>'1 kiemelt ei. '!N19</f>
        <v>401754</v>
      </c>
      <c r="C10" s="396">
        <f>281004+10063</f>
        <v>291067</v>
      </c>
      <c r="D10" s="396">
        <v>10063</v>
      </c>
      <c r="E10" s="396">
        <v>10063</v>
      </c>
      <c r="F10" s="396">
        <v>10063</v>
      </c>
      <c r="G10" s="396">
        <v>10063</v>
      </c>
      <c r="H10" s="396">
        <v>10063</v>
      </c>
      <c r="I10" s="396">
        <v>10063</v>
      </c>
      <c r="J10" s="396">
        <v>10063</v>
      </c>
      <c r="K10" s="396">
        <v>10063</v>
      </c>
      <c r="L10" s="396">
        <v>10063</v>
      </c>
      <c r="M10" s="396">
        <v>10063</v>
      </c>
      <c r="N10" s="396">
        <f>10063-6</f>
        <v>10057</v>
      </c>
    </row>
    <row r="11" spans="1:14" s="391" customFormat="1" ht="24" customHeight="1" thickBot="1" x14ac:dyDescent="0.35">
      <c r="A11" s="397" t="s">
        <v>235</v>
      </c>
      <c r="B11" s="393">
        <f>SUM(B9:B10)</f>
        <v>33913561</v>
      </c>
      <c r="C11" s="393">
        <f t="shared" ref="C11:N11" si="1">SUM(C9:C10)</f>
        <v>2138339</v>
      </c>
      <c r="D11" s="393">
        <f t="shared" si="1"/>
        <v>1133704</v>
      </c>
      <c r="E11" s="393">
        <f t="shared" si="1"/>
        <v>2708704</v>
      </c>
      <c r="F11" s="393">
        <f t="shared" si="1"/>
        <v>2519246</v>
      </c>
      <c r="G11" s="393">
        <f t="shared" si="1"/>
        <v>3676051</v>
      </c>
      <c r="H11" s="393">
        <f t="shared" si="1"/>
        <v>2762849</v>
      </c>
      <c r="I11" s="393">
        <f t="shared" si="1"/>
        <v>3246413</v>
      </c>
      <c r="J11" s="393">
        <f t="shared" si="1"/>
        <v>2928673</v>
      </c>
      <c r="K11" s="393">
        <f t="shared" si="1"/>
        <v>3815511</v>
      </c>
      <c r="L11" s="393">
        <f t="shared" si="1"/>
        <v>3886048</v>
      </c>
      <c r="M11" s="393">
        <f t="shared" si="1"/>
        <v>2175908</v>
      </c>
      <c r="N11" s="393">
        <f t="shared" si="1"/>
        <v>2922115</v>
      </c>
    </row>
    <row r="12" spans="1:14" ht="24" customHeight="1" thickBot="1" x14ac:dyDescent="0.3">
      <c r="B12" s="383">
        <f>B11-'2 mérleg'!K55</f>
        <v>0</v>
      </c>
    </row>
    <row r="13" spans="1:14" s="77" customFormat="1" ht="31.5" x14ac:dyDescent="0.25">
      <c r="A13" s="403" t="s">
        <v>158</v>
      </c>
      <c r="B13" s="404"/>
      <c r="C13" s="404" t="s">
        <v>236</v>
      </c>
      <c r="D13" s="404" t="s">
        <v>237</v>
      </c>
      <c r="E13" s="405" t="s">
        <v>238</v>
      </c>
    </row>
    <row r="14" spans="1:14" s="77" customFormat="1" ht="16.5" thickBot="1" x14ac:dyDescent="0.3">
      <c r="A14" s="85"/>
      <c r="B14" s="406"/>
      <c r="C14" s="407"/>
      <c r="D14" s="407"/>
      <c r="E14" s="408"/>
      <c r="F14" s="78"/>
      <c r="G14" s="409"/>
      <c r="H14" s="409"/>
      <c r="I14" s="409"/>
      <c r="J14" s="409"/>
      <c r="K14" s="409"/>
      <c r="L14" s="409"/>
      <c r="M14" s="409"/>
      <c r="N14" s="409"/>
    </row>
    <row r="15" spans="1:14" s="77" customFormat="1" ht="18.75" x14ac:dyDescent="0.3">
      <c r="A15" s="410" t="s">
        <v>239</v>
      </c>
      <c r="B15" s="72"/>
      <c r="C15" s="411">
        <f>'19 ei felh. terv bevétel'!C11</f>
        <v>2235806</v>
      </c>
      <c r="D15" s="411">
        <f>C11</f>
        <v>2138339</v>
      </c>
      <c r="E15" s="412">
        <f>+B15+C15-D15</f>
        <v>97467</v>
      </c>
      <c r="F15" s="78"/>
      <c r="G15" s="78"/>
      <c r="H15" s="78"/>
      <c r="I15" s="78"/>
      <c r="J15" s="78"/>
      <c r="K15" s="78"/>
      <c r="L15" s="78"/>
      <c r="M15" s="78"/>
    </row>
    <row r="16" spans="1:14" s="77" customFormat="1" ht="18.75" x14ac:dyDescent="0.3">
      <c r="A16" s="413" t="s">
        <v>240</v>
      </c>
      <c r="B16" s="70"/>
      <c r="C16" s="411">
        <f>'19 ei felh. terv bevétel'!D11</f>
        <v>1142080</v>
      </c>
      <c r="D16" s="411">
        <f>D11</f>
        <v>1133704</v>
      </c>
      <c r="E16" s="414">
        <f t="shared" ref="E16:E26" si="2">+E15+C16-D16</f>
        <v>105843</v>
      </c>
      <c r="F16" s="78"/>
      <c r="G16" s="78"/>
      <c r="H16" s="78"/>
      <c r="I16" s="78"/>
      <c r="J16" s="78"/>
      <c r="K16" s="78"/>
      <c r="L16" s="78"/>
      <c r="M16" s="78"/>
    </row>
    <row r="17" spans="1:14" s="77" customFormat="1" ht="18.75" x14ac:dyDescent="0.3">
      <c r="A17" s="413" t="s">
        <v>208</v>
      </c>
      <c r="B17" s="70"/>
      <c r="C17" s="411">
        <f>'19 ei felh. terv bevétel'!E11</f>
        <v>5942080</v>
      </c>
      <c r="D17" s="411">
        <f>E11</f>
        <v>2708704</v>
      </c>
      <c r="E17" s="414">
        <f t="shared" si="2"/>
        <v>3339219</v>
      </c>
      <c r="F17" s="78"/>
      <c r="G17" s="78"/>
      <c r="H17" s="78"/>
      <c r="I17" s="78"/>
      <c r="J17" s="78"/>
      <c r="K17" s="78"/>
      <c r="L17" s="78"/>
      <c r="M17" s="78"/>
    </row>
    <row r="18" spans="1:14" s="77" customFormat="1" ht="18.75" x14ac:dyDescent="0.3">
      <c r="A18" s="413" t="s">
        <v>209</v>
      </c>
      <c r="B18" s="70"/>
      <c r="C18" s="411">
        <f>'19 ei felh. terv bevétel'!F11</f>
        <v>1711742</v>
      </c>
      <c r="D18" s="411">
        <f>F11</f>
        <v>2519246</v>
      </c>
      <c r="E18" s="414">
        <f t="shared" si="2"/>
        <v>2531715</v>
      </c>
      <c r="F18" s="78"/>
      <c r="G18" s="78"/>
      <c r="H18" s="78"/>
      <c r="I18" s="78"/>
      <c r="J18" s="78"/>
      <c r="K18" s="78"/>
      <c r="L18" s="78"/>
      <c r="M18" s="78"/>
    </row>
    <row r="19" spans="1:14" s="77" customFormat="1" ht="18.75" x14ac:dyDescent="0.3">
      <c r="A19" s="413" t="s">
        <v>210</v>
      </c>
      <c r="B19" s="70"/>
      <c r="C19" s="411">
        <f>'19 ei felh. terv bevétel'!G11</f>
        <v>6868450</v>
      </c>
      <c r="D19" s="411">
        <f>G11</f>
        <v>3676051</v>
      </c>
      <c r="E19" s="414">
        <f t="shared" si="2"/>
        <v>5724114</v>
      </c>
      <c r="F19" s="78"/>
      <c r="G19" s="78"/>
      <c r="H19" s="78"/>
      <c r="I19" s="78"/>
      <c r="J19" s="78"/>
      <c r="K19" s="78"/>
      <c r="L19" s="78"/>
      <c r="M19" s="78"/>
    </row>
    <row r="20" spans="1:14" s="77" customFormat="1" ht="18.75" x14ac:dyDescent="0.3">
      <c r="A20" s="413" t="s">
        <v>241</v>
      </c>
      <c r="B20" s="70"/>
      <c r="C20" s="411">
        <f>'19 ei felh. terv bevétel'!H11</f>
        <v>1149893</v>
      </c>
      <c r="D20" s="411">
        <f>H11</f>
        <v>2762849</v>
      </c>
      <c r="E20" s="414">
        <f t="shared" si="2"/>
        <v>4111158</v>
      </c>
      <c r="F20" s="78"/>
      <c r="G20" s="78"/>
      <c r="H20" s="78"/>
      <c r="I20" s="78"/>
      <c r="J20" s="78"/>
      <c r="K20" s="78"/>
      <c r="L20" s="78"/>
      <c r="M20" s="78"/>
    </row>
    <row r="21" spans="1:14" s="77" customFormat="1" ht="18.75" x14ac:dyDescent="0.3">
      <c r="A21" s="413" t="s">
        <v>242</v>
      </c>
      <c r="B21" s="70"/>
      <c r="C21" s="411">
        <f>'19 ei felh. terv bevétel'!I11</f>
        <v>1149893</v>
      </c>
      <c r="D21" s="411">
        <f>I11</f>
        <v>3246413</v>
      </c>
      <c r="E21" s="414">
        <f t="shared" si="2"/>
        <v>2014638</v>
      </c>
      <c r="F21" s="78"/>
      <c r="G21" s="78"/>
      <c r="H21" s="78"/>
      <c r="I21" s="78"/>
      <c r="J21" s="78"/>
      <c r="K21" s="78"/>
      <c r="L21" s="78"/>
      <c r="M21" s="78"/>
    </row>
    <row r="22" spans="1:14" s="77" customFormat="1" ht="18.75" x14ac:dyDescent="0.3">
      <c r="A22" s="413" t="s">
        <v>243</v>
      </c>
      <c r="B22" s="70"/>
      <c r="C22" s="411">
        <f>'19 ei felh. terv bevétel'!J11</f>
        <v>1149893</v>
      </c>
      <c r="D22" s="411">
        <f>J11</f>
        <v>2928673</v>
      </c>
      <c r="E22" s="414">
        <f t="shared" si="2"/>
        <v>235858</v>
      </c>
      <c r="F22" s="78"/>
      <c r="G22" s="78"/>
      <c r="H22" s="78"/>
      <c r="I22" s="78"/>
      <c r="J22" s="78"/>
      <c r="K22" s="78"/>
      <c r="L22" s="78"/>
      <c r="M22" s="78"/>
    </row>
    <row r="23" spans="1:14" s="77" customFormat="1" ht="18.75" x14ac:dyDescent="0.3">
      <c r="A23" s="413" t="s">
        <v>211</v>
      </c>
      <c r="B23" s="70"/>
      <c r="C23" s="411">
        <f>'19 ei felh. terv bevétel'!K11</f>
        <v>6456893</v>
      </c>
      <c r="D23" s="411">
        <f>K11</f>
        <v>3815511</v>
      </c>
      <c r="E23" s="414">
        <f t="shared" si="2"/>
        <v>2877240</v>
      </c>
      <c r="F23" s="78"/>
      <c r="G23" s="78"/>
      <c r="H23" s="78"/>
      <c r="I23" s="78"/>
      <c r="J23" s="78"/>
      <c r="K23" s="78"/>
      <c r="L23" s="78"/>
      <c r="M23" s="78"/>
    </row>
    <row r="24" spans="1:14" s="77" customFormat="1" ht="18.75" x14ac:dyDescent="0.3">
      <c r="A24" s="413" t="s">
        <v>213</v>
      </c>
      <c r="B24" s="70"/>
      <c r="C24" s="411">
        <f>'19 ei felh. terv bevétel'!L11</f>
        <v>1649893</v>
      </c>
      <c r="D24" s="411">
        <f>L11</f>
        <v>3886048</v>
      </c>
      <c r="E24" s="414">
        <f t="shared" si="2"/>
        <v>641085</v>
      </c>
      <c r="F24" s="78"/>
      <c r="G24" s="78"/>
      <c r="H24" s="78"/>
      <c r="I24" s="78"/>
      <c r="J24" s="78"/>
      <c r="K24" s="78"/>
      <c r="L24" s="78"/>
      <c r="M24" s="78"/>
    </row>
    <row r="25" spans="1:14" s="77" customFormat="1" ht="18.75" x14ac:dyDescent="0.3">
      <c r="A25" s="413" t="s">
        <v>244</v>
      </c>
      <c r="B25" s="70"/>
      <c r="C25" s="411">
        <f>'19 ei felh. terv bevétel'!M11</f>
        <v>1622893</v>
      </c>
      <c r="D25" s="411">
        <f>M11</f>
        <v>2175908</v>
      </c>
      <c r="E25" s="414">
        <f t="shared" si="2"/>
        <v>88070</v>
      </c>
      <c r="F25" s="78"/>
      <c r="G25" s="78"/>
      <c r="H25" s="78"/>
      <c r="I25" s="78"/>
      <c r="J25" s="78"/>
      <c r="K25" s="78"/>
      <c r="L25" s="78"/>
      <c r="M25" s="78"/>
    </row>
    <row r="26" spans="1:14" s="77" customFormat="1" ht="19.5" thickBot="1" x14ac:dyDescent="0.35">
      <c r="A26" s="415" t="s">
        <v>245</v>
      </c>
      <c r="B26" s="416"/>
      <c r="C26" s="417">
        <f>'19 ei felh. terv bevétel'!N11</f>
        <v>2834045</v>
      </c>
      <c r="D26" s="417">
        <f>N11</f>
        <v>2922115</v>
      </c>
      <c r="E26" s="414">
        <f t="shared" si="2"/>
        <v>0</v>
      </c>
      <c r="F26" s="78"/>
      <c r="G26" s="78"/>
      <c r="H26" s="78"/>
      <c r="I26" s="78"/>
      <c r="J26" s="78"/>
      <c r="K26" s="78"/>
      <c r="L26" s="78"/>
      <c r="M26" s="78"/>
    </row>
    <row r="27" spans="1:14" s="77" customFormat="1" ht="19.5" thickBot="1" x14ac:dyDescent="0.35">
      <c r="A27" s="67" t="s">
        <v>189</v>
      </c>
      <c r="B27" s="418"/>
      <c r="C27" s="419">
        <f>SUM(C15:C26)</f>
        <v>33913561</v>
      </c>
      <c r="D27" s="419">
        <f>SUM(D15:D26)</f>
        <v>33913561</v>
      </c>
      <c r="E27" s="420">
        <f>+C27-D27</f>
        <v>0</v>
      </c>
      <c r="G27" s="78"/>
      <c r="H27" s="78"/>
      <c r="I27" s="78"/>
      <c r="J27" s="78"/>
      <c r="K27" s="78"/>
      <c r="L27" s="78"/>
      <c r="M27" s="78"/>
    </row>
    <row r="30" spans="1:14" x14ac:dyDescent="0.25">
      <c r="B30" s="383"/>
      <c r="C30" s="421"/>
      <c r="D30" s="421"/>
      <c r="E30" s="421"/>
      <c r="F30" s="421"/>
      <c r="G30" s="421"/>
      <c r="H30" s="421"/>
      <c r="I30" s="421"/>
      <c r="J30" s="421"/>
      <c r="K30" s="421"/>
      <c r="L30" s="421"/>
      <c r="M30" s="421"/>
      <c r="N30" s="421"/>
    </row>
    <row r="31" spans="1:14" x14ac:dyDescent="0.25">
      <c r="C31" s="421"/>
      <c r="D31" s="421"/>
      <c r="E31" s="421"/>
      <c r="F31" s="421"/>
      <c r="G31" s="421"/>
      <c r="H31" s="421"/>
      <c r="I31" s="421"/>
      <c r="J31" s="421"/>
      <c r="K31" s="421"/>
      <c r="L31" s="421"/>
      <c r="M31" s="421"/>
      <c r="N31" s="421"/>
    </row>
  </sheetData>
  <mergeCells count="1">
    <mergeCell ref="A2:B2"/>
  </mergeCells>
  <printOptions horizontalCentered="1" verticalCentered="1"/>
  <pageMargins left="0.19685039370078741" right="0.19685039370078741" top="0.15748031496062992" bottom="0" header="0.15748031496062992" footer="0.15748031496062992"/>
  <pageSetup paperSize="9" scale="43" orientation="landscape" r:id="rId1"/>
  <headerFooter alignWithMargins="0">
    <oddHeader xml:space="preserve">&amp;R&amp;"-,Félkövér"&amp;12 19. melléklet a 15/2025. (V.30.) önkormányzati rendelethez
"19. melléklet a 4/2025. (II.28) önkormányzati rendelethez"&amp;"Times New Roman CE,Félkövér"
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31"/>
  <dimension ref="A1:P107"/>
  <sheetViews>
    <sheetView zoomScale="95" zoomScaleNormal="95" workbookViewId="0">
      <selection activeCell="I74" sqref="I1:I1048576"/>
    </sheetView>
  </sheetViews>
  <sheetFormatPr defaultRowHeight="21" customHeight="1" x14ac:dyDescent="0.25"/>
  <cols>
    <col min="1" max="1" width="5" style="77" customWidth="1"/>
    <col min="2" max="4" width="2.33203125" style="77" customWidth="1"/>
    <col min="5" max="5" width="174.33203125" style="77" customWidth="1"/>
    <col min="6" max="6" width="29.5" style="77" bestFit="1" customWidth="1"/>
    <col min="7" max="7" width="39.1640625" style="77" customWidth="1"/>
    <col min="8" max="8" width="38.1640625" style="78" bestFit="1" customWidth="1"/>
    <col min="9" max="9" width="16.33203125" style="77" bestFit="1" customWidth="1"/>
    <col min="10" max="10" width="9.33203125" style="77"/>
    <col min="11" max="11" width="15" style="77" bestFit="1" customWidth="1"/>
    <col min="12" max="12" width="13.83203125" style="77" customWidth="1"/>
    <col min="13" max="15" width="9.33203125" style="77"/>
    <col min="16" max="16" width="13.1640625" style="77" customWidth="1"/>
    <col min="17" max="16384" width="9.33203125" style="77"/>
  </cols>
  <sheetData>
    <row r="1" spans="1:10" ht="21" customHeight="1" x14ac:dyDescent="0.25">
      <c r="A1" s="901"/>
      <c r="B1" s="901"/>
      <c r="C1" s="901"/>
      <c r="D1" s="901"/>
      <c r="E1" s="901"/>
      <c r="F1" s="75"/>
      <c r="G1" s="75"/>
      <c r="H1" s="76"/>
    </row>
    <row r="2" spans="1:10" ht="21" customHeight="1" x14ac:dyDescent="0.35">
      <c r="A2" s="902" t="s">
        <v>106</v>
      </c>
      <c r="B2" s="902"/>
      <c r="C2" s="902"/>
      <c r="D2" s="902"/>
      <c r="E2" s="902"/>
      <c r="F2" s="902"/>
      <c r="G2" s="902"/>
      <c r="H2" s="902"/>
    </row>
    <row r="3" spans="1:10" ht="21" customHeight="1" x14ac:dyDescent="0.25">
      <c r="A3" s="75"/>
      <c r="B3" s="75"/>
      <c r="C3" s="75"/>
      <c r="D3" s="75"/>
      <c r="E3" s="75"/>
      <c r="F3" s="75"/>
      <c r="G3" s="75"/>
      <c r="H3" s="76"/>
    </row>
    <row r="4" spans="1:10" ht="21" customHeight="1" thickBot="1" x14ac:dyDescent="0.35">
      <c r="B4" s="79"/>
      <c r="C4" s="79"/>
      <c r="D4" s="79"/>
      <c r="E4" s="80"/>
      <c r="F4" s="81"/>
      <c r="H4" s="16" t="s">
        <v>206</v>
      </c>
    </row>
    <row r="5" spans="1:10" ht="21" customHeight="1" x14ac:dyDescent="0.25">
      <c r="A5" s="82"/>
      <c r="B5" s="83"/>
      <c r="C5" s="83"/>
      <c r="D5" s="83"/>
      <c r="E5" s="84" t="s">
        <v>158</v>
      </c>
      <c r="F5" s="19" t="s">
        <v>564</v>
      </c>
      <c r="G5" s="19" t="s">
        <v>563</v>
      </c>
      <c r="H5" s="19" t="s">
        <v>573</v>
      </c>
    </row>
    <row r="6" spans="1:10" ht="21" customHeight="1" thickBot="1" x14ac:dyDescent="0.3">
      <c r="A6" s="85"/>
      <c r="B6" s="86"/>
      <c r="C6" s="86"/>
      <c r="D6" s="86"/>
      <c r="E6" s="87"/>
      <c r="F6" s="23" t="s">
        <v>352</v>
      </c>
      <c r="G6" s="23" t="s">
        <v>561</v>
      </c>
      <c r="H6" s="23" t="s">
        <v>352</v>
      </c>
    </row>
    <row r="7" spans="1:10" ht="21" customHeight="1" x14ac:dyDescent="0.35">
      <c r="A7" s="89" t="s">
        <v>100</v>
      </c>
      <c r="B7" s="50"/>
      <c r="C7" s="50"/>
      <c r="D7" s="50"/>
      <c r="E7" s="50"/>
      <c r="F7" s="90"/>
      <c r="G7" s="90"/>
      <c r="H7" s="90"/>
    </row>
    <row r="8" spans="1:10" s="93" customFormat="1" ht="21" customHeight="1" x14ac:dyDescent="0.35">
      <c r="A8" s="4"/>
      <c r="B8" s="6" t="s">
        <v>568</v>
      </c>
      <c r="C8" s="6"/>
      <c r="D8" s="6"/>
      <c r="E8" s="91"/>
      <c r="F8" s="92">
        <v>1759168</v>
      </c>
      <c r="G8" s="92"/>
      <c r="H8" s="92">
        <f>SUM(F8:G8)</f>
        <v>1759168</v>
      </c>
      <c r="J8" s="601"/>
    </row>
    <row r="9" spans="1:10" s="93" customFormat="1" ht="21" customHeight="1" x14ac:dyDescent="0.35">
      <c r="A9" s="4"/>
      <c r="B9" s="6"/>
      <c r="C9" s="6"/>
      <c r="D9" s="6"/>
      <c r="E9" s="94"/>
      <c r="F9" s="95"/>
      <c r="G9" s="95"/>
      <c r="H9" s="95"/>
      <c r="J9" s="601"/>
    </row>
    <row r="10" spans="1:10" s="93" customFormat="1" ht="24.75" customHeight="1" x14ac:dyDescent="0.35">
      <c r="A10" s="4"/>
      <c r="B10" s="96" t="s">
        <v>275</v>
      </c>
      <c r="C10" s="96"/>
      <c r="D10" s="96"/>
      <c r="E10" s="97"/>
      <c r="F10" s="98">
        <v>3333839</v>
      </c>
      <c r="G10" s="98"/>
      <c r="H10" s="98">
        <f>SUM(F10:G10)</f>
        <v>3333839</v>
      </c>
      <c r="J10" s="601"/>
    </row>
    <row r="11" spans="1:10" s="93" customFormat="1" ht="24.75" customHeight="1" x14ac:dyDescent="0.35">
      <c r="A11" s="4"/>
      <c r="B11" s="5"/>
      <c r="C11" s="5"/>
      <c r="D11" s="5"/>
      <c r="E11" s="99"/>
      <c r="F11" s="92"/>
      <c r="G11" s="92"/>
      <c r="H11" s="92"/>
      <c r="J11" s="601"/>
    </row>
    <row r="12" spans="1:10" s="93" customFormat="1" ht="21" customHeight="1" x14ac:dyDescent="0.35">
      <c r="A12" s="4"/>
      <c r="B12" s="6" t="s">
        <v>398</v>
      </c>
      <c r="C12" s="6"/>
      <c r="D12" s="6"/>
      <c r="E12" s="100" t="s">
        <v>409</v>
      </c>
      <c r="F12" s="98">
        <v>2153628</v>
      </c>
      <c r="G12" s="98">
        <v>9801</v>
      </c>
      <c r="H12" s="98">
        <f>SUM(F12:G12)</f>
        <v>2163429</v>
      </c>
      <c r="J12" s="601"/>
    </row>
    <row r="13" spans="1:10" s="93" customFormat="1" x14ac:dyDescent="0.35">
      <c r="A13" s="4"/>
      <c r="C13" s="6"/>
      <c r="F13" s="92"/>
      <c r="G13" s="92"/>
      <c r="H13" s="92"/>
      <c r="J13" s="601"/>
    </row>
    <row r="14" spans="1:10" s="93" customFormat="1" ht="21" customHeight="1" x14ac:dyDescent="0.35">
      <c r="A14" s="4"/>
      <c r="B14" s="101" t="s">
        <v>399</v>
      </c>
      <c r="C14" s="101"/>
      <c r="D14" s="101"/>
      <c r="E14" s="102" t="s">
        <v>400</v>
      </c>
      <c r="F14" s="103">
        <v>878065</v>
      </c>
      <c r="G14" s="103"/>
      <c r="H14" s="103">
        <f>SUM(F14:G14)</f>
        <v>878065</v>
      </c>
      <c r="J14" s="601"/>
    </row>
    <row r="15" spans="1:10" s="93" customFormat="1" ht="21" customHeight="1" x14ac:dyDescent="0.35">
      <c r="A15" s="4"/>
      <c r="B15" s="96" t="s">
        <v>401</v>
      </c>
      <c r="C15" s="96"/>
      <c r="D15" s="96"/>
      <c r="E15" s="602"/>
      <c r="F15" s="98">
        <f>SUM(F16:F17)</f>
        <v>214192</v>
      </c>
      <c r="G15" s="98">
        <f>SUM(G16:G17)</f>
        <v>0</v>
      </c>
      <c r="H15" s="98">
        <f>SUM(H16:H17)</f>
        <v>214192</v>
      </c>
      <c r="J15" s="601"/>
    </row>
    <row r="16" spans="1:10" s="93" customFormat="1" ht="21" customHeight="1" x14ac:dyDescent="0.35">
      <c r="A16" s="4"/>
      <c r="B16" s="8"/>
      <c r="C16" s="31" t="s">
        <v>547</v>
      </c>
      <c r="D16" s="31"/>
      <c r="E16" s="104"/>
      <c r="F16" s="105">
        <v>71479</v>
      </c>
      <c r="G16" s="105"/>
      <c r="H16" s="105">
        <f>SUM(F16:G16)</f>
        <v>71479</v>
      </c>
      <c r="J16" s="601"/>
    </row>
    <row r="17" spans="1:16" s="93" customFormat="1" ht="21" customHeight="1" x14ac:dyDescent="0.35">
      <c r="A17" s="4"/>
      <c r="B17" s="106"/>
      <c r="C17" s="107" t="s">
        <v>548</v>
      </c>
      <c r="D17" s="107"/>
      <c r="E17" s="108"/>
      <c r="F17" s="105">
        <v>142713</v>
      </c>
      <c r="G17" s="105"/>
      <c r="H17" s="105">
        <f>SUM(F17:G17)</f>
        <v>142713</v>
      </c>
      <c r="J17" s="601"/>
    </row>
    <row r="18" spans="1:16" s="93" customFormat="1" ht="21" customHeight="1" x14ac:dyDescent="0.35">
      <c r="A18" s="4"/>
      <c r="B18" s="101" t="s">
        <v>402</v>
      </c>
      <c r="C18" s="101"/>
      <c r="D18" s="101"/>
      <c r="E18" s="102"/>
      <c r="F18" s="103">
        <f>F8+F10+F12+F14+F15</f>
        <v>8338892</v>
      </c>
      <c r="G18" s="103">
        <f>G8+G10+G12+G14+G15</f>
        <v>9801</v>
      </c>
      <c r="H18" s="103">
        <f>H8+H10+H12+H14+H15</f>
        <v>8348693</v>
      </c>
      <c r="J18" s="601"/>
    </row>
    <row r="19" spans="1:16" s="93" customFormat="1" ht="21" customHeight="1" x14ac:dyDescent="0.35">
      <c r="A19" s="4"/>
      <c r="B19" s="6" t="s">
        <v>406</v>
      </c>
      <c r="C19" s="94"/>
      <c r="D19" s="6"/>
      <c r="E19" s="6"/>
      <c r="F19" s="98"/>
      <c r="G19" s="98"/>
      <c r="H19" s="98"/>
      <c r="J19" s="601"/>
    </row>
    <row r="20" spans="1:16" s="93" customFormat="1" ht="21" customHeight="1" x14ac:dyDescent="0.35">
      <c r="A20" s="7"/>
      <c r="B20" s="8"/>
      <c r="C20" s="34" t="s">
        <v>410</v>
      </c>
      <c r="D20" s="34"/>
      <c r="E20" s="109"/>
      <c r="F20" s="105"/>
      <c r="G20" s="105">
        <v>105185</v>
      </c>
      <c r="H20" s="105">
        <f>SUM(F20:G20)</f>
        <v>105185</v>
      </c>
      <c r="J20" s="601"/>
    </row>
    <row r="21" spans="1:16" s="93" customFormat="1" ht="21" customHeight="1" x14ac:dyDescent="0.35">
      <c r="A21" s="4"/>
      <c r="B21" s="101"/>
      <c r="C21" s="101" t="s">
        <v>404</v>
      </c>
      <c r="D21" s="101"/>
      <c r="E21" s="551"/>
      <c r="F21" s="114">
        <f>SUM(F20:F20)</f>
        <v>0</v>
      </c>
      <c r="G21" s="114">
        <f>SUM(G20:G20)</f>
        <v>105185</v>
      </c>
      <c r="H21" s="114">
        <f>SUM(H20:H20)</f>
        <v>105185</v>
      </c>
      <c r="J21" s="601"/>
    </row>
    <row r="22" spans="1:16" s="93" customFormat="1" ht="21" customHeight="1" x14ac:dyDescent="0.35">
      <c r="A22" s="4"/>
      <c r="B22" s="96" t="s">
        <v>408</v>
      </c>
      <c r="C22" s="96"/>
      <c r="D22" s="96"/>
      <c r="E22" s="111"/>
      <c r="F22" s="112"/>
      <c r="G22" s="112"/>
      <c r="H22" s="112"/>
      <c r="J22" s="601"/>
    </row>
    <row r="23" spans="1:16" s="93" customFormat="1" ht="21" customHeight="1" x14ac:dyDescent="0.35">
      <c r="A23" s="4"/>
      <c r="B23" s="8"/>
      <c r="C23" s="31" t="s">
        <v>544</v>
      </c>
      <c r="D23" s="31"/>
      <c r="E23" s="104"/>
      <c r="F23" s="105">
        <v>230670</v>
      </c>
      <c r="G23" s="105"/>
      <c r="H23" s="105">
        <f>SUM(F23:G23)</f>
        <v>230670</v>
      </c>
      <c r="J23" s="601"/>
      <c r="L23" s="601"/>
      <c r="P23" s="601"/>
    </row>
    <row r="24" spans="1:16" s="93" customFormat="1" ht="21" customHeight="1" x14ac:dyDescent="0.35">
      <c r="A24" s="4"/>
      <c r="B24" s="8"/>
      <c r="C24" s="31" t="s">
        <v>545</v>
      </c>
      <c r="D24" s="31"/>
      <c r="E24" s="104"/>
      <c r="F24" s="110">
        <v>188000</v>
      </c>
      <c r="G24" s="105"/>
      <c r="H24" s="105">
        <f t="shared" ref="H24:H26" si="0">SUM(F24:G24)</f>
        <v>188000</v>
      </c>
      <c r="J24" s="601"/>
      <c r="L24" s="601"/>
      <c r="P24" s="601"/>
    </row>
    <row r="25" spans="1:16" ht="21" customHeight="1" x14ac:dyDescent="0.35">
      <c r="A25" s="7"/>
      <c r="B25" s="8"/>
      <c r="C25" s="34" t="s">
        <v>403</v>
      </c>
      <c r="D25" s="34"/>
      <c r="E25" s="109"/>
      <c r="F25" s="105">
        <v>318266</v>
      </c>
      <c r="G25" s="110"/>
      <c r="H25" s="105">
        <f t="shared" si="0"/>
        <v>318266</v>
      </c>
      <c r="J25" s="601"/>
    </row>
    <row r="26" spans="1:16" ht="21" customHeight="1" x14ac:dyDescent="0.35">
      <c r="A26" s="7"/>
      <c r="B26" s="8"/>
      <c r="C26" s="34" t="s">
        <v>578</v>
      </c>
      <c r="D26" s="34"/>
      <c r="E26" s="109"/>
      <c r="F26" s="105">
        <v>157338</v>
      </c>
      <c r="G26" s="105"/>
      <c r="H26" s="105">
        <f t="shared" si="0"/>
        <v>157338</v>
      </c>
      <c r="J26" s="601"/>
    </row>
    <row r="27" spans="1:16" s="93" customFormat="1" ht="21" customHeight="1" x14ac:dyDescent="0.35">
      <c r="A27" s="4"/>
      <c r="B27" s="101" t="s">
        <v>407</v>
      </c>
      <c r="C27" s="101"/>
      <c r="D27" s="101"/>
      <c r="E27" s="551"/>
      <c r="F27" s="114">
        <f>SUM(F23:F26)</f>
        <v>894274</v>
      </c>
      <c r="G27" s="114">
        <f>SUM(G23:G26)</f>
        <v>0</v>
      </c>
      <c r="H27" s="114">
        <f>SUM(H23:H26)</f>
        <v>894274</v>
      </c>
      <c r="J27" s="601"/>
    </row>
    <row r="28" spans="1:16" s="93" customFormat="1" ht="21" customHeight="1" x14ac:dyDescent="0.35">
      <c r="A28" s="4"/>
      <c r="B28" s="96" t="s">
        <v>48</v>
      </c>
      <c r="C28" s="96"/>
      <c r="D28" s="96"/>
      <c r="E28" s="97"/>
      <c r="F28" s="112"/>
      <c r="G28" s="112"/>
      <c r="H28" s="112"/>
      <c r="J28" s="601"/>
    </row>
    <row r="29" spans="1:16" s="93" customFormat="1" ht="42" customHeight="1" x14ac:dyDescent="0.35">
      <c r="A29" s="1"/>
      <c r="B29" s="2"/>
      <c r="C29" s="3"/>
      <c r="D29" s="3"/>
      <c r="E29" s="115" t="s">
        <v>429</v>
      </c>
      <c r="F29" s="32"/>
      <c r="G29" s="32">
        <v>2420</v>
      </c>
      <c r="H29" s="32">
        <f>SUM(F29:G29)</f>
        <v>2420</v>
      </c>
      <c r="J29" s="601"/>
    </row>
    <row r="30" spans="1:16" s="93" customFormat="1" ht="21" customHeight="1" x14ac:dyDescent="0.35">
      <c r="A30" s="4"/>
      <c r="B30" s="116" t="s">
        <v>265</v>
      </c>
      <c r="C30" s="101"/>
      <c r="D30" s="101"/>
      <c r="E30" s="113"/>
      <c r="F30" s="114">
        <f>SUM(F29:F29)</f>
        <v>0</v>
      </c>
      <c r="G30" s="114">
        <f>SUM(G29:G29)</f>
        <v>2420</v>
      </c>
      <c r="H30" s="114">
        <f>SUM(H29:H29)</f>
        <v>2420</v>
      </c>
      <c r="J30" s="601"/>
    </row>
    <row r="31" spans="1:16" s="93" customFormat="1" ht="21" customHeight="1" x14ac:dyDescent="0.35">
      <c r="A31" s="550" t="s">
        <v>349</v>
      </c>
      <c r="B31" s="6"/>
      <c r="C31" s="96"/>
      <c r="D31" s="96"/>
      <c r="E31" s="97"/>
      <c r="F31" s="112">
        <f>F18+F21+F27+F30</f>
        <v>9233166</v>
      </c>
      <c r="G31" s="112">
        <f>G18+G21+G27+G30</f>
        <v>117406</v>
      </c>
      <c r="H31" s="112">
        <f>H18+H21+H27+H30</f>
        <v>9350572</v>
      </c>
      <c r="J31" s="601"/>
    </row>
    <row r="32" spans="1:16" ht="21" customHeight="1" x14ac:dyDescent="0.35">
      <c r="A32" s="4"/>
      <c r="B32" s="96" t="s">
        <v>267</v>
      </c>
      <c r="C32" s="96"/>
      <c r="D32" s="96"/>
      <c r="E32" s="97"/>
      <c r="F32" s="117"/>
      <c r="G32" s="117"/>
      <c r="H32" s="117"/>
      <c r="J32" s="601"/>
    </row>
    <row r="33" spans="1:11" ht="21" customHeight="1" x14ac:dyDescent="0.35">
      <c r="A33" s="7"/>
      <c r="B33" s="8"/>
      <c r="C33" s="14"/>
      <c r="D33" s="14"/>
      <c r="E33" s="118"/>
      <c r="F33" s="37"/>
      <c r="G33" s="37"/>
      <c r="H33" s="105"/>
      <c r="J33" s="601"/>
    </row>
    <row r="34" spans="1:11" ht="21" customHeight="1" thickBot="1" x14ac:dyDescent="0.4">
      <c r="A34" s="4"/>
      <c r="B34" s="119" t="s">
        <v>266</v>
      </c>
      <c r="C34" s="119"/>
      <c r="D34" s="119"/>
      <c r="E34" s="120"/>
      <c r="F34" s="121">
        <f>SUM(F33)</f>
        <v>0</v>
      </c>
      <c r="G34" s="121">
        <f>SUM(G33)</f>
        <v>0</v>
      </c>
      <c r="H34" s="121">
        <f>SUM(H33)</f>
        <v>0</v>
      </c>
      <c r="J34" s="601"/>
    </row>
    <row r="35" spans="1:11" ht="21" customHeight="1" thickBot="1" x14ac:dyDescent="0.4">
      <c r="A35" s="89" t="s">
        <v>268</v>
      </c>
      <c r="B35" s="122" t="s">
        <v>25</v>
      </c>
      <c r="C35" s="123"/>
      <c r="D35" s="123"/>
      <c r="E35" s="123"/>
      <c r="F35" s="124">
        <f>F31+F34</f>
        <v>9233166</v>
      </c>
      <c r="G35" s="124">
        <f>G31+G34</f>
        <v>117406</v>
      </c>
      <c r="H35" s="124">
        <f>H31+H34</f>
        <v>9350572</v>
      </c>
      <c r="I35" s="78"/>
      <c r="J35" s="601"/>
      <c r="K35" s="78"/>
    </row>
    <row r="36" spans="1:11" ht="21" customHeight="1" thickBot="1" x14ac:dyDescent="0.4">
      <c r="A36" s="89"/>
      <c r="B36" s="122"/>
      <c r="C36" s="68" t="s">
        <v>264</v>
      </c>
      <c r="D36" s="123"/>
      <c r="E36" s="123"/>
      <c r="F36" s="124"/>
      <c r="G36" s="124"/>
      <c r="H36" s="124"/>
      <c r="J36" s="601"/>
    </row>
    <row r="37" spans="1:11" ht="21" customHeight="1" thickBot="1" x14ac:dyDescent="0.4">
      <c r="A37" s="89" t="s">
        <v>269</v>
      </c>
      <c r="B37" s="55" t="s">
        <v>46</v>
      </c>
      <c r="C37" s="125"/>
      <c r="D37" s="125"/>
      <c r="E37" s="125"/>
      <c r="F37" s="46">
        <f>F36</f>
        <v>0</v>
      </c>
      <c r="G37" s="46">
        <f>G36</f>
        <v>0</v>
      </c>
      <c r="H37" s="46">
        <f>H36</f>
        <v>0</v>
      </c>
      <c r="J37" s="601"/>
    </row>
    <row r="38" spans="1:11" x14ac:dyDescent="0.35">
      <c r="A38" s="7"/>
      <c r="B38" s="8"/>
      <c r="C38" s="31" t="s">
        <v>374</v>
      </c>
      <c r="D38" s="34"/>
      <c r="E38" s="109"/>
      <c r="F38" s="32">
        <v>302075</v>
      </c>
      <c r="G38" s="32">
        <v>45312</v>
      </c>
      <c r="H38" s="32">
        <f>SUM(F38:G38)</f>
        <v>347387</v>
      </c>
      <c r="J38" s="601"/>
    </row>
    <row r="39" spans="1:11" x14ac:dyDescent="0.35">
      <c r="A39" s="7"/>
      <c r="B39" s="8"/>
      <c r="C39" s="31" t="s">
        <v>375</v>
      </c>
      <c r="D39" s="34"/>
      <c r="E39" s="109"/>
      <c r="F39" s="35">
        <v>53000</v>
      </c>
      <c r="G39" s="35">
        <v>28055</v>
      </c>
      <c r="H39" s="32">
        <f t="shared" ref="H39:H41" si="1">SUM(F39:G39)</f>
        <v>81055</v>
      </c>
      <c r="J39" s="601"/>
    </row>
    <row r="40" spans="1:11" x14ac:dyDescent="0.35">
      <c r="A40" s="7"/>
      <c r="B40" s="6"/>
      <c r="C40" s="31" t="s">
        <v>387</v>
      </c>
      <c r="D40" s="126"/>
      <c r="E40" s="31"/>
      <c r="F40" s="32"/>
      <c r="G40" s="32">
        <v>6647</v>
      </c>
      <c r="H40" s="32">
        <f t="shared" si="1"/>
        <v>6647</v>
      </c>
      <c r="J40" s="601"/>
    </row>
    <row r="41" spans="1:11" ht="21.75" thickBot="1" x14ac:dyDescent="0.4">
      <c r="A41" s="7"/>
      <c r="B41" s="6"/>
      <c r="C41" s="31" t="s">
        <v>497</v>
      </c>
      <c r="D41" s="126"/>
      <c r="E41" s="31"/>
      <c r="F41" s="32">
        <v>23860</v>
      </c>
      <c r="G41" s="32"/>
      <c r="H41" s="32">
        <f t="shared" si="1"/>
        <v>23860</v>
      </c>
      <c r="J41" s="601"/>
    </row>
    <row r="42" spans="1:11" ht="21" customHeight="1" thickBot="1" x14ac:dyDescent="0.4">
      <c r="A42" s="89" t="s">
        <v>270</v>
      </c>
      <c r="B42" s="129" t="s">
        <v>45</v>
      </c>
      <c r="C42" s="129"/>
      <c r="D42" s="129"/>
      <c r="E42" s="129"/>
      <c r="F42" s="58">
        <f>SUM(F38:F41)</f>
        <v>378935</v>
      </c>
      <c r="G42" s="58">
        <f>SUM(G38:G41)</f>
        <v>80014</v>
      </c>
      <c r="H42" s="58">
        <f>SUM(H38:H41)</f>
        <v>458949</v>
      </c>
      <c r="J42" s="601"/>
    </row>
    <row r="43" spans="1:11" s="81" customFormat="1" ht="21" customHeight="1" thickBot="1" x14ac:dyDescent="0.4">
      <c r="A43" s="130" t="s">
        <v>271</v>
      </c>
      <c r="B43" s="131"/>
      <c r="C43" s="132"/>
      <c r="D43" s="132"/>
      <c r="E43" s="132"/>
      <c r="F43" s="133">
        <f>F35+F37+F42</f>
        <v>9612101</v>
      </c>
      <c r="G43" s="133">
        <f>G35+G37+G42</f>
        <v>197420</v>
      </c>
      <c r="H43" s="133">
        <f>H35+H37+H42</f>
        <v>9809521</v>
      </c>
      <c r="I43" s="77"/>
      <c r="J43" s="601"/>
    </row>
    <row r="44" spans="1:11" ht="21" customHeight="1" x14ac:dyDescent="0.35">
      <c r="A44" s="134" t="s">
        <v>102</v>
      </c>
      <c r="B44" s="135"/>
      <c r="C44" s="135"/>
      <c r="D44" s="135"/>
      <c r="E44" s="136"/>
      <c r="F44" s="137"/>
      <c r="G44" s="137"/>
      <c r="H44" s="137"/>
      <c r="J44" s="601"/>
    </row>
    <row r="45" spans="1:11" ht="21" customHeight="1" x14ac:dyDescent="0.35">
      <c r="A45" s="89"/>
      <c r="B45" s="6" t="s">
        <v>22</v>
      </c>
      <c r="C45" s="6"/>
      <c r="D45" s="6"/>
      <c r="E45" s="138"/>
      <c r="F45" s="139"/>
      <c r="G45" s="139"/>
      <c r="H45" s="139"/>
      <c r="J45" s="601"/>
    </row>
    <row r="46" spans="1:11" ht="21" customHeight="1" x14ac:dyDescent="0.35">
      <c r="A46" s="7"/>
      <c r="B46" s="8"/>
      <c r="C46" s="31"/>
      <c r="D46" s="31"/>
      <c r="E46" s="104"/>
      <c r="F46" s="32"/>
      <c r="G46" s="32"/>
      <c r="H46" s="32"/>
      <c r="J46" s="601"/>
    </row>
    <row r="47" spans="1:11" ht="21" customHeight="1" x14ac:dyDescent="0.35">
      <c r="A47" s="89"/>
      <c r="B47" s="6" t="s">
        <v>23</v>
      </c>
      <c r="C47" s="6"/>
      <c r="D47" s="6"/>
      <c r="E47" s="138"/>
      <c r="F47" s="40"/>
      <c r="G47" s="40"/>
      <c r="H47" s="40"/>
      <c r="J47" s="601"/>
    </row>
    <row r="48" spans="1:11" ht="21" customHeight="1" x14ac:dyDescent="0.35">
      <c r="A48" s="7"/>
      <c r="B48" s="8"/>
      <c r="C48" s="31" t="s">
        <v>159</v>
      </c>
      <c r="D48" s="31"/>
      <c r="E48" s="126"/>
      <c r="F48" s="32">
        <v>2535000</v>
      </c>
      <c r="G48" s="32"/>
      <c r="H48" s="32">
        <f t="shared" ref="H48:H55" si="2">SUM(F48:G48)</f>
        <v>2535000</v>
      </c>
      <c r="J48" s="601"/>
      <c r="K48" s="78"/>
    </row>
    <row r="49" spans="1:10" ht="21" customHeight="1" x14ac:dyDescent="0.35">
      <c r="A49" s="89"/>
      <c r="B49" s="6" t="s">
        <v>21</v>
      </c>
      <c r="C49" s="6"/>
      <c r="D49" s="6"/>
      <c r="E49" s="138"/>
      <c r="F49" s="40"/>
      <c r="G49" s="40"/>
      <c r="H49" s="40"/>
      <c r="J49" s="601"/>
    </row>
    <row r="50" spans="1:10" ht="21" customHeight="1" x14ac:dyDescent="0.35">
      <c r="A50" s="7"/>
      <c r="B50" s="8"/>
      <c r="C50" s="31" t="s">
        <v>187</v>
      </c>
      <c r="D50" s="31"/>
      <c r="E50" s="126"/>
      <c r="F50" s="32">
        <v>11717000</v>
      </c>
      <c r="G50" s="32"/>
      <c r="H50" s="32">
        <f t="shared" si="2"/>
        <v>11717000</v>
      </c>
      <c r="J50" s="601"/>
    </row>
    <row r="51" spans="1:10" ht="21" customHeight="1" x14ac:dyDescent="0.35">
      <c r="A51" s="7"/>
      <c r="B51" s="8"/>
      <c r="C51" s="34" t="s">
        <v>3</v>
      </c>
      <c r="D51" s="34"/>
      <c r="E51" s="140"/>
      <c r="F51" s="32">
        <v>30000</v>
      </c>
      <c r="G51" s="32"/>
      <c r="H51" s="32">
        <f t="shared" si="2"/>
        <v>30000</v>
      </c>
      <c r="J51" s="601"/>
    </row>
    <row r="52" spans="1:10" ht="21" customHeight="1" x14ac:dyDescent="0.35">
      <c r="A52" s="89"/>
      <c r="B52" s="6" t="s">
        <v>24</v>
      </c>
      <c r="C52" s="6"/>
      <c r="D52" s="6"/>
      <c r="E52" s="138"/>
      <c r="F52" s="40"/>
      <c r="G52" s="37"/>
      <c r="H52" s="40"/>
      <c r="J52" s="601"/>
    </row>
    <row r="53" spans="1:10" ht="21" customHeight="1" x14ac:dyDescent="0.35">
      <c r="A53" s="7"/>
      <c r="B53" s="8"/>
      <c r="C53" s="31" t="s">
        <v>17</v>
      </c>
      <c r="D53" s="31"/>
      <c r="E53" s="126"/>
      <c r="F53" s="32">
        <v>25000</v>
      </c>
      <c r="G53" s="32"/>
      <c r="H53" s="32">
        <f t="shared" si="2"/>
        <v>25000</v>
      </c>
      <c r="J53" s="601"/>
    </row>
    <row r="54" spans="1:10" ht="21" customHeight="1" x14ac:dyDescent="0.35">
      <c r="A54" s="7"/>
      <c r="B54" s="8"/>
      <c r="C54" s="34" t="s">
        <v>10</v>
      </c>
      <c r="D54" s="34"/>
      <c r="E54" s="34"/>
      <c r="F54" s="32">
        <v>1000</v>
      </c>
      <c r="G54" s="32"/>
      <c r="H54" s="32">
        <f t="shared" si="2"/>
        <v>1000</v>
      </c>
      <c r="J54" s="601"/>
    </row>
    <row r="55" spans="1:10" ht="21" customHeight="1" x14ac:dyDescent="0.35">
      <c r="A55" s="7"/>
      <c r="B55" s="8"/>
      <c r="C55" s="8" t="s">
        <v>49</v>
      </c>
      <c r="D55" s="8"/>
      <c r="E55" s="34"/>
      <c r="F55" s="32"/>
      <c r="G55" s="32">
        <v>2285</v>
      </c>
      <c r="H55" s="32">
        <f t="shared" si="2"/>
        <v>2285</v>
      </c>
      <c r="J55" s="601"/>
    </row>
    <row r="56" spans="1:10" ht="21" customHeight="1" thickBot="1" x14ac:dyDescent="0.4">
      <c r="A56" s="130" t="s">
        <v>165</v>
      </c>
      <c r="B56" s="131"/>
      <c r="C56" s="132"/>
      <c r="D56" s="132"/>
      <c r="E56" s="132"/>
      <c r="F56" s="133">
        <f>SUM(F44:F55)</f>
        <v>14308000</v>
      </c>
      <c r="G56" s="133">
        <f>SUM(G44:G55)</f>
        <v>2285</v>
      </c>
      <c r="H56" s="133">
        <f>SUM(H44:H55)</f>
        <v>14310285</v>
      </c>
      <c r="J56" s="601"/>
    </row>
    <row r="57" spans="1:10" ht="21" customHeight="1" x14ac:dyDescent="0.35">
      <c r="A57" s="89" t="s">
        <v>14</v>
      </c>
      <c r="B57" s="138"/>
      <c r="C57" s="138"/>
      <c r="D57" s="138"/>
      <c r="E57" s="141"/>
      <c r="F57" s="139"/>
      <c r="G57" s="139"/>
      <c r="H57" s="139"/>
      <c r="J57" s="601"/>
    </row>
    <row r="58" spans="1:10" ht="21.75" customHeight="1" x14ac:dyDescent="0.35">
      <c r="A58" s="7"/>
      <c r="B58" s="8"/>
      <c r="C58" s="8"/>
      <c r="D58" s="8"/>
      <c r="E58" s="31" t="s">
        <v>540</v>
      </c>
      <c r="F58" s="32">
        <v>17950</v>
      </c>
      <c r="G58" s="32"/>
      <c r="H58" s="32">
        <f>SUM(F58:G58)</f>
        <v>17950</v>
      </c>
      <c r="J58" s="601"/>
    </row>
    <row r="59" spans="1:10" ht="21" customHeight="1" x14ac:dyDescent="0.35">
      <c r="A59" s="7"/>
      <c r="B59" s="8"/>
      <c r="C59" s="8"/>
      <c r="D59" s="8"/>
      <c r="E59" s="549" t="s">
        <v>546</v>
      </c>
      <c r="F59" s="32">
        <v>68400</v>
      </c>
      <c r="G59" s="32"/>
      <c r="H59" s="32">
        <f t="shared" ref="H59:H77" si="3">SUM(F59:G59)</f>
        <v>68400</v>
      </c>
      <c r="I59" s="78"/>
      <c r="J59" s="601"/>
    </row>
    <row r="60" spans="1:10" ht="21" customHeight="1" x14ac:dyDescent="0.35">
      <c r="A60" s="7"/>
      <c r="B60" s="8"/>
      <c r="C60" s="8"/>
      <c r="D60" s="8"/>
      <c r="E60" s="605" t="s">
        <v>379</v>
      </c>
      <c r="F60" s="32">
        <v>665000</v>
      </c>
      <c r="G60" s="32"/>
      <c r="H60" s="32">
        <f t="shared" si="3"/>
        <v>665000</v>
      </c>
      <c r="I60" s="78"/>
      <c r="J60" s="601"/>
    </row>
    <row r="61" spans="1:10" ht="21" customHeight="1" x14ac:dyDescent="0.35">
      <c r="A61" s="7"/>
      <c r="B61" s="8"/>
      <c r="C61" s="8"/>
      <c r="D61" s="8"/>
      <c r="E61" s="605" t="s">
        <v>188</v>
      </c>
      <c r="F61" s="32">
        <v>9000</v>
      </c>
      <c r="G61" s="32"/>
      <c r="H61" s="32">
        <f t="shared" si="3"/>
        <v>9000</v>
      </c>
      <c r="I61" s="78"/>
      <c r="J61" s="601"/>
    </row>
    <row r="62" spans="1:10" ht="21" customHeight="1" x14ac:dyDescent="0.35">
      <c r="A62" s="7"/>
      <c r="B62" s="8"/>
      <c r="C62" s="8"/>
      <c r="D62" s="8"/>
      <c r="E62" s="605" t="s">
        <v>78</v>
      </c>
      <c r="F62" s="32">
        <v>2700</v>
      </c>
      <c r="G62" s="32"/>
      <c r="H62" s="32">
        <f t="shared" si="3"/>
        <v>2700</v>
      </c>
      <c r="I62" s="78"/>
      <c r="J62" s="601"/>
    </row>
    <row r="63" spans="1:10" ht="21" customHeight="1" x14ac:dyDescent="0.35">
      <c r="A63" s="7"/>
      <c r="B63" s="8"/>
      <c r="C63" s="8"/>
      <c r="D63" s="8"/>
      <c r="E63" s="605" t="s">
        <v>77</v>
      </c>
      <c r="F63" s="32">
        <v>700000</v>
      </c>
      <c r="G63" s="32"/>
      <c r="H63" s="32">
        <f t="shared" si="3"/>
        <v>700000</v>
      </c>
      <c r="I63" s="78"/>
      <c r="J63" s="601"/>
    </row>
    <row r="64" spans="1:10" x14ac:dyDescent="0.35">
      <c r="A64" s="7"/>
      <c r="B64" s="8"/>
      <c r="C64" s="8"/>
      <c r="D64" s="8"/>
      <c r="E64" s="34" t="s">
        <v>113</v>
      </c>
      <c r="F64" s="32">
        <v>9000</v>
      </c>
      <c r="G64" s="32"/>
      <c r="H64" s="32">
        <f t="shared" si="3"/>
        <v>9000</v>
      </c>
      <c r="J64" s="601"/>
    </row>
    <row r="65" spans="1:11" ht="21" customHeight="1" x14ac:dyDescent="0.35">
      <c r="A65" s="7"/>
      <c r="B65" s="8"/>
      <c r="C65" s="8"/>
      <c r="D65" s="8"/>
      <c r="E65" s="605" t="s">
        <v>151</v>
      </c>
      <c r="F65" s="32">
        <v>17000</v>
      </c>
      <c r="G65" s="32"/>
      <c r="H65" s="32">
        <f t="shared" si="3"/>
        <v>17000</v>
      </c>
      <c r="I65" s="78"/>
      <c r="J65" s="601"/>
    </row>
    <row r="66" spans="1:11" ht="21" customHeight="1" x14ac:dyDescent="0.35">
      <c r="A66" s="7"/>
      <c r="B66" s="8"/>
      <c r="D66" s="8"/>
      <c r="E66" s="605" t="s">
        <v>144</v>
      </c>
      <c r="F66" s="32">
        <v>1700</v>
      </c>
      <c r="G66" s="32"/>
      <c r="H66" s="32">
        <f t="shared" si="3"/>
        <v>1700</v>
      </c>
      <c r="I66" s="78"/>
      <c r="J66" s="601"/>
    </row>
    <row r="67" spans="1:11" ht="21" customHeight="1" x14ac:dyDescent="0.35">
      <c r="A67" s="7"/>
      <c r="B67" s="8"/>
      <c r="C67" s="8"/>
      <c r="D67" s="8"/>
      <c r="E67" s="606" t="s">
        <v>86</v>
      </c>
      <c r="F67" s="32"/>
      <c r="G67" s="32">
        <v>866960</v>
      </c>
      <c r="H67" s="32">
        <f t="shared" si="3"/>
        <v>866960</v>
      </c>
      <c r="I67" s="78"/>
      <c r="J67" s="601"/>
      <c r="K67" s="78"/>
    </row>
    <row r="68" spans="1:11" ht="21" customHeight="1" x14ac:dyDescent="0.35">
      <c r="A68" s="7"/>
      <c r="B68" s="8"/>
      <c r="C68" s="8"/>
      <c r="D68" s="8"/>
      <c r="E68" s="31" t="s">
        <v>388</v>
      </c>
      <c r="F68" s="32"/>
      <c r="G68" s="32">
        <v>13788</v>
      </c>
      <c r="H68" s="32">
        <f t="shared" si="3"/>
        <v>13788</v>
      </c>
      <c r="J68" s="601"/>
    </row>
    <row r="69" spans="1:11" ht="21" customHeight="1" x14ac:dyDescent="0.35">
      <c r="A69" s="7"/>
      <c r="B69" s="8"/>
      <c r="C69" s="8"/>
      <c r="D69" s="8"/>
      <c r="E69" s="31" t="s">
        <v>335</v>
      </c>
      <c r="F69" s="32"/>
      <c r="G69" s="32">
        <v>3238</v>
      </c>
      <c r="H69" s="32">
        <f t="shared" si="3"/>
        <v>3238</v>
      </c>
      <c r="J69" s="601"/>
    </row>
    <row r="70" spans="1:11" ht="21" customHeight="1" x14ac:dyDescent="0.35">
      <c r="A70" s="7"/>
      <c r="B70" s="8"/>
      <c r="C70" s="8"/>
      <c r="D70" s="8"/>
      <c r="E70" s="31" t="s">
        <v>430</v>
      </c>
      <c r="F70" s="32"/>
      <c r="G70" s="32">
        <v>1305</v>
      </c>
      <c r="H70" s="32">
        <f t="shared" si="3"/>
        <v>1305</v>
      </c>
      <c r="J70" s="601"/>
    </row>
    <row r="71" spans="1:11" ht="21" customHeight="1" x14ac:dyDescent="0.35">
      <c r="A71" s="7"/>
      <c r="B71" s="138" t="s">
        <v>26</v>
      </c>
      <c r="C71" s="138"/>
      <c r="D71" s="138"/>
      <c r="E71" s="142"/>
      <c r="F71" s="40"/>
      <c r="G71" s="40"/>
      <c r="H71" s="40"/>
      <c r="J71" s="601"/>
    </row>
    <row r="72" spans="1:11" ht="21" customHeight="1" x14ac:dyDescent="0.35">
      <c r="A72" s="7"/>
      <c r="B72" s="9"/>
      <c r="C72" s="9"/>
      <c r="D72" s="9"/>
      <c r="E72" s="31" t="s">
        <v>380</v>
      </c>
      <c r="F72" s="32">
        <v>117936</v>
      </c>
      <c r="G72" s="32"/>
      <c r="H72" s="32">
        <f t="shared" si="3"/>
        <v>117936</v>
      </c>
      <c r="J72" s="601"/>
    </row>
    <row r="73" spans="1:11" ht="21" customHeight="1" x14ac:dyDescent="0.35">
      <c r="A73" s="7"/>
      <c r="B73" s="50"/>
      <c r="C73" s="50"/>
      <c r="D73" s="50"/>
      <c r="E73" s="128" t="s">
        <v>180</v>
      </c>
      <c r="F73" s="32">
        <v>400000</v>
      </c>
      <c r="G73" s="105"/>
      <c r="H73" s="32">
        <f t="shared" si="3"/>
        <v>400000</v>
      </c>
      <c r="J73" s="601"/>
    </row>
    <row r="74" spans="1:11" ht="21" customHeight="1" x14ac:dyDescent="0.35">
      <c r="A74" s="7"/>
      <c r="B74" s="9"/>
      <c r="C74" s="9"/>
      <c r="D74" s="9"/>
      <c r="E74" s="31" t="s">
        <v>82</v>
      </c>
      <c r="F74" s="32">
        <v>20000</v>
      </c>
      <c r="G74" s="105"/>
      <c r="H74" s="32">
        <f t="shared" si="3"/>
        <v>20000</v>
      </c>
      <c r="J74" s="601"/>
    </row>
    <row r="75" spans="1:11" ht="21" customHeight="1" x14ac:dyDescent="0.35">
      <c r="A75" s="7"/>
      <c r="B75" s="9"/>
      <c r="C75" s="9"/>
      <c r="D75" s="9"/>
      <c r="E75" s="31" t="s">
        <v>47</v>
      </c>
      <c r="F75" s="110"/>
      <c r="G75" s="110">
        <f>143291+118728</f>
        <v>262019</v>
      </c>
      <c r="H75" s="32">
        <f t="shared" si="3"/>
        <v>262019</v>
      </c>
      <c r="J75" s="601"/>
    </row>
    <row r="76" spans="1:11" ht="21" customHeight="1" x14ac:dyDescent="0.35">
      <c r="A76" s="7"/>
      <c r="B76" s="138" t="s">
        <v>27</v>
      </c>
      <c r="C76" s="138"/>
      <c r="D76" s="138"/>
      <c r="E76" s="142"/>
      <c r="F76" s="40"/>
      <c r="G76" s="40"/>
      <c r="H76" s="40"/>
      <c r="J76" s="601"/>
    </row>
    <row r="77" spans="1:11" x14ac:dyDescent="0.35">
      <c r="A77" s="7"/>
      <c r="B77" s="9"/>
      <c r="C77" s="9"/>
      <c r="D77" s="9"/>
      <c r="E77" s="31" t="s">
        <v>148</v>
      </c>
      <c r="F77" s="32">
        <v>120000</v>
      </c>
      <c r="G77" s="32"/>
      <c r="H77" s="32">
        <f t="shared" si="3"/>
        <v>120000</v>
      </c>
      <c r="J77" s="601"/>
    </row>
    <row r="78" spans="1:11" ht="21" customHeight="1" thickBot="1" x14ac:dyDescent="0.4">
      <c r="A78" s="130" t="s">
        <v>105</v>
      </c>
      <c r="B78" s="132"/>
      <c r="C78" s="132"/>
      <c r="D78" s="132"/>
      <c r="E78" s="132"/>
      <c r="F78" s="57">
        <f>SUM(F57:F77)</f>
        <v>2148686</v>
      </c>
      <c r="G78" s="57">
        <f>SUM(G57:G77)</f>
        <v>1147310</v>
      </c>
      <c r="H78" s="57">
        <f>SUM(H57:H77)</f>
        <v>3295996</v>
      </c>
      <c r="J78" s="601"/>
    </row>
    <row r="79" spans="1:11" ht="21" customHeight="1" x14ac:dyDescent="0.35">
      <c r="A79" s="89" t="s">
        <v>101</v>
      </c>
      <c r="B79" s="50"/>
      <c r="C79" s="50"/>
      <c r="D79" s="50"/>
      <c r="E79" s="50"/>
      <c r="F79" s="90"/>
      <c r="G79" s="90"/>
      <c r="H79" s="90"/>
      <c r="J79" s="601"/>
    </row>
    <row r="80" spans="1:11" ht="21" customHeight="1" x14ac:dyDescent="0.35">
      <c r="A80" s="89"/>
      <c r="B80" s="143" t="s">
        <v>31</v>
      </c>
      <c r="C80" s="50"/>
      <c r="D80" s="50"/>
      <c r="E80" s="50"/>
      <c r="F80" s="144"/>
      <c r="G80" s="144"/>
      <c r="H80" s="144"/>
      <c r="J80" s="601"/>
    </row>
    <row r="81" spans="1:10" ht="21" customHeight="1" x14ac:dyDescent="0.35">
      <c r="A81" s="127"/>
      <c r="B81" s="9"/>
      <c r="C81" s="128" t="s">
        <v>418</v>
      </c>
      <c r="D81" s="128"/>
      <c r="E81" s="31"/>
      <c r="F81" s="105"/>
      <c r="G81" s="105">
        <v>20000</v>
      </c>
      <c r="H81" s="105">
        <f>SUM(F81:G81)</f>
        <v>20000</v>
      </c>
      <c r="J81" s="601"/>
    </row>
    <row r="82" spans="1:10" ht="21" customHeight="1" x14ac:dyDescent="0.35">
      <c r="A82" s="7"/>
      <c r="B82" s="138" t="s">
        <v>32</v>
      </c>
      <c r="C82" s="138"/>
      <c r="D82" s="138"/>
      <c r="E82" s="142"/>
      <c r="F82" s="40"/>
      <c r="G82" s="40"/>
      <c r="H82" s="145"/>
      <c r="J82" s="601"/>
    </row>
    <row r="83" spans="1:10" ht="21" customHeight="1" x14ac:dyDescent="0.35">
      <c r="A83" s="127"/>
      <c r="B83" s="9"/>
      <c r="C83" s="128" t="s">
        <v>549</v>
      </c>
      <c r="D83" s="128"/>
      <c r="E83" s="31"/>
      <c r="F83" s="32"/>
      <c r="G83" s="32">
        <v>4322</v>
      </c>
      <c r="H83" s="105">
        <f t="shared" ref="H83:H89" si="4">SUM(F83:G83)</f>
        <v>4322</v>
      </c>
      <c r="I83" s="81"/>
      <c r="J83" s="601"/>
    </row>
    <row r="84" spans="1:10" ht="21" customHeight="1" x14ac:dyDescent="0.35">
      <c r="A84" s="127"/>
      <c r="B84" s="9"/>
      <c r="C84" s="128" t="s">
        <v>468</v>
      </c>
      <c r="D84" s="128"/>
      <c r="E84" s="31"/>
      <c r="F84" s="32">
        <v>0</v>
      </c>
      <c r="G84" s="32">
        <v>1618</v>
      </c>
      <c r="H84" s="105">
        <f t="shared" si="4"/>
        <v>1618</v>
      </c>
      <c r="J84" s="601"/>
    </row>
    <row r="85" spans="1:10" ht="21" customHeight="1" x14ac:dyDescent="0.35">
      <c r="A85" s="127"/>
      <c r="B85" s="9"/>
      <c r="C85" s="128" t="s">
        <v>579</v>
      </c>
      <c r="D85" s="128"/>
      <c r="E85" s="31"/>
      <c r="F85" s="32"/>
      <c r="G85" s="32">
        <v>44415</v>
      </c>
      <c r="H85" s="105">
        <f t="shared" si="4"/>
        <v>44415</v>
      </c>
      <c r="J85" s="601"/>
    </row>
    <row r="86" spans="1:10" ht="21" customHeight="1" x14ac:dyDescent="0.35">
      <c r="A86" s="7"/>
      <c r="B86" s="546"/>
      <c r="C86" s="547" t="s">
        <v>510</v>
      </c>
      <c r="D86" s="32"/>
      <c r="E86" s="32"/>
      <c r="F86" s="32"/>
      <c r="G86" s="32">
        <v>5370</v>
      </c>
      <c r="H86" s="105">
        <f t="shared" si="4"/>
        <v>5370</v>
      </c>
      <c r="J86" s="601"/>
    </row>
    <row r="87" spans="1:10" ht="21" customHeight="1" x14ac:dyDescent="0.35">
      <c r="A87" s="7"/>
      <c r="B87" s="546"/>
      <c r="C87" s="547" t="s">
        <v>511</v>
      </c>
      <c r="D87" s="32"/>
      <c r="E87" s="32"/>
      <c r="F87" s="32"/>
      <c r="G87" s="32">
        <v>6355</v>
      </c>
      <c r="H87" s="105">
        <f t="shared" si="4"/>
        <v>6355</v>
      </c>
      <c r="J87" s="601"/>
    </row>
    <row r="88" spans="1:10" ht="21" customHeight="1" x14ac:dyDescent="0.35">
      <c r="A88" s="7"/>
      <c r="B88" s="546"/>
      <c r="C88" s="547" t="s">
        <v>449</v>
      </c>
      <c r="D88" s="32"/>
      <c r="E88" s="32"/>
      <c r="F88" s="32"/>
      <c r="G88" s="32">
        <v>30917</v>
      </c>
      <c r="H88" s="105">
        <f t="shared" si="4"/>
        <v>30917</v>
      </c>
      <c r="J88" s="601"/>
    </row>
    <row r="89" spans="1:10" ht="21" customHeight="1" thickBot="1" x14ac:dyDescent="0.4">
      <c r="A89" s="7"/>
      <c r="B89" s="546"/>
      <c r="C89" s="547" t="s">
        <v>589</v>
      </c>
      <c r="D89" s="32"/>
      <c r="E89" s="32"/>
      <c r="F89" s="32"/>
      <c r="G89" s="32">
        <v>300</v>
      </c>
      <c r="H89" s="105">
        <f t="shared" si="4"/>
        <v>300</v>
      </c>
      <c r="J89" s="601"/>
    </row>
    <row r="90" spans="1:10" s="81" customFormat="1" ht="21" customHeight="1" thickBot="1" x14ac:dyDescent="0.4">
      <c r="A90" s="146" t="s">
        <v>164</v>
      </c>
      <c r="B90" s="147"/>
      <c r="C90" s="129"/>
      <c r="D90" s="129"/>
      <c r="E90" s="129"/>
      <c r="F90" s="148">
        <f>SUM(F79:F89)</f>
        <v>0</v>
      </c>
      <c r="G90" s="148">
        <f>SUM(G79:G89)</f>
        <v>113297</v>
      </c>
      <c r="H90" s="148">
        <f>SUM(H79:H89)</f>
        <v>113297</v>
      </c>
      <c r="J90" s="601"/>
    </row>
    <row r="91" spans="1:10" ht="21" customHeight="1" x14ac:dyDescent="0.35">
      <c r="A91" s="134" t="s">
        <v>60</v>
      </c>
      <c r="B91" s="149"/>
      <c r="C91" s="149"/>
      <c r="D91" s="149"/>
      <c r="E91" s="149"/>
      <c r="F91" s="150"/>
      <c r="G91" s="150"/>
      <c r="H91" s="150"/>
      <c r="I91" s="81"/>
      <c r="J91" s="601"/>
    </row>
    <row r="92" spans="1:10" s="81" customFormat="1" ht="21" customHeight="1" x14ac:dyDescent="0.35">
      <c r="A92" s="151"/>
      <c r="B92" s="9" t="s">
        <v>183</v>
      </c>
      <c r="C92" s="138"/>
      <c r="D92" s="138"/>
      <c r="E92" s="47"/>
      <c r="F92" s="32">
        <v>20784</v>
      </c>
      <c r="G92" s="105">
        <v>1265</v>
      </c>
      <c r="H92" s="32">
        <f>SUM(F92:G92)</f>
        <v>22049</v>
      </c>
      <c r="I92" s="77"/>
      <c r="J92" s="601"/>
    </row>
    <row r="93" spans="1:10" s="81" customFormat="1" ht="21" customHeight="1" x14ac:dyDescent="0.35">
      <c r="A93" s="151"/>
      <c r="B93" s="152" t="s">
        <v>358</v>
      </c>
      <c r="C93" s="153"/>
      <c r="D93" s="153"/>
      <c r="E93" s="38"/>
      <c r="F93" s="32">
        <v>658521</v>
      </c>
      <c r="G93" s="32">
        <v>1048</v>
      </c>
      <c r="H93" s="32">
        <f t="shared" ref="H93:H102" si="5">SUM(F93:G93)</f>
        <v>659569</v>
      </c>
      <c r="I93" s="77"/>
      <c r="J93" s="601"/>
    </row>
    <row r="94" spans="1:10" s="81" customFormat="1" ht="21" customHeight="1" x14ac:dyDescent="0.35">
      <c r="A94" s="151"/>
      <c r="B94" s="152" t="s">
        <v>98</v>
      </c>
      <c r="C94" s="153"/>
      <c r="D94" s="153"/>
      <c r="E94" s="38"/>
      <c r="F94" s="32">
        <v>28471</v>
      </c>
      <c r="G94" s="32"/>
      <c r="H94" s="32">
        <f t="shared" si="5"/>
        <v>28471</v>
      </c>
      <c r="I94" s="77"/>
      <c r="J94" s="601"/>
    </row>
    <row r="95" spans="1:10" s="81" customFormat="1" ht="21" customHeight="1" x14ac:dyDescent="0.35">
      <c r="A95" s="151"/>
      <c r="B95" s="152" t="s">
        <v>569</v>
      </c>
      <c r="C95" s="153"/>
      <c r="D95" s="153"/>
      <c r="E95" s="38"/>
      <c r="F95" s="32">
        <v>113344</v>
      </c>
      <c r="G95" s="32"/>
      <c r="H95" s="32">
        <f t="shared" si="5"/>
        <v>113344</v>
      </c>
      <c r="I95" s="77"/>
      <c r="J95" s="601"/>
    </row>
    <row r="96" spans="1:10" s="81" customFormat="1" ht="21" customHeight="1" x14ac:dyDescent="0.35">
      <c r="A96" s="151"/>
      <c r="B96" s="152" t="s">
        <v>336</v>
      </c>
      <c r="C96" s="153"/>
      <c r="D96" s="153"/>
      <c r="E96" s="38"/>
      <c r="F96" s="32">
        <v>32900</v>
      </c>
      <c r="G96" s="32"/>
      <c r="H96" s="32">
        <f t="shared" si="5"/>
        <v>32900</v>
      </c>
      <c r="I96" s="77"/>
      <c r="J96" s="601"/>
    </row>
    <row r="97" spans="1:10" s="81" customFormat="1" ht="21" customHeight="1" x14ac:dyDescent="0.35">
      <c r="A97" s="151"/>
      <c r="B97" s="152" t="s">
        <v>110</v>
      </c>
      <c r="C97" s="153"/>
      <c r="D97" s="153"/>
      <c r="E97" s="38"/>
      <c r="F97" s="32">
        <v>154078</v>
      </c>
      <c r="G97" s="32">
        <v>13406</v>
      </c>
      <c r="H97" s="32">
        <f t="shared" si="5"/>
        <v>167484</v>
      </c>
      <c r="I97" s="77"/>
      <c r="J97" s="601"/>
    </row>
    <row r="98" spans="1:10" s="81" customFormat="1" ht="21" customHeight="1" x14ac:dyDescent="0.35">
      <c r="A98" s="151"/>
      <c r="B98" s="152" t="s">
        <v>71</v>
      </c>
      <c r="C98" s="153"/>
      <c r="D98" s="153"/>
      <c r="E98" s="38"/>
      <c r="F98" s="32">
        <v>197479</v>
      </c>
      <c r="G98" s="32"/>
      <c r="H98" s="32">
        <f t="shared" si="5"/>
        <v>197479</v>
      </c>
      <c r="I98" s="77"/>
      <c r="J98" s="601"/>
    </row>
    <row r="99" spans="1:10" s="81" customFormat="1" ht="21" customHeight="1" x14ac:dyDescent="0.35">
      <c r="A99" s="151"/>
      <c r="B99" s="152" t="s">
        <v>191</v>
      </c>
      <c r="C99" s="153"/>
      <c r="D99" s="153"/>
      <c r="E99" s="38"/>
      <c r="F99" s="32">
        <v>488765</v>
      </c>
      <c r="G99" s="32"/>
      <c r="H99" s="32">
        <f t="shared" si="5"/>
        <v>488765</v>
      </c>
      <c r="I99" s="77"/>
      <c r="J99" s="601"/>
    </row>
    <row r="100" spans="1:10" s="81" customFormat="1" ht="21" customHeight="1" x14ac:dyDescent="0.35">
      <c r="A100" s="151"/>
      <c r="B100" s="152" t="s">
        <v>13</v>
      </c>
      <c r="C100" s="153"/>
      <c r="D100" s="153"/>
      <c r="E100" s="38"/>
      <c r="F100" s="32">
        <v>97148</v>
      </c>
      <c r="G100" s="32">
        <v>13519</v>
      </c>
      <c r="H100" s="32">
        <f t="shared" si="5"/>
        <v>110667</v>
      </c>
      <c r="I100" s="77"/>
      <c r="J100" s="601"/>
    </row>
    <row r="101" spans="1:10" s="81" customFormat="1" ht="21" customHeight="1" x14ac:dyDescent="0.35">
      <c r="A101" s="151"/>
      <c r="B101" s="152" t="s">
        <v>143</v>
      </c>
      <c r="C101" s="153"/>
      <c r="D101" s="153"/>
      <c r="E101" s="38"/>
      <c r="F101" s="32">
        <v>188823</v>
      </c>
      <c r="G101" s="32"/>
      <c r="H101" s="32">
        <f t="shared" si="5"/>
        <v>188823</v>
      </c>
      <c r="I101" s="77"/>
      <c r="J101" s="601"/>
    </row>
    <row r="102" spans="1:10" s="81" customFormat="1" ht="21" customHeight="1" x14ac:dyDescent="0.35">
      <c r="A102" s="151"/>
      <c r="B102" s="152" t="s">
        <v>4</v>
      </c>
      <c r="C102" s="153"/>
      <c r="D102" s="153"/>
      <c r="E102" s="38"/>
      <c r="F102" s="32">
        <v>19000</v>
      </c>
      <c r="G102" s="32">
        <v>810</v>
      </c>
      <c r="H102" s="32">
        <f t="shared" si="5"/>
        <v>19810</v>
      </c>
      <c r="I102" s="77"/>
      <c r="J102" s="601"/>
    </row>
    <row r="103" spans="1:10" ht="21" customHeight="1" thickBot="1" x14ac:dyDescent="0.4">
      <c r="A103" s="130" t="s">
        <v>61</v>
      </c>
      <c r="B103" s="131"/>
      <c r="C103" s="132"/>
      <c r="D103" s="132"/>
      <c r="E103" s="132"/>
      <c r="F103" s="133">
        <f>SUM(F92:F102)</f>
        <v>1999313</v>
      </c>
      <c r="G103" s="133">
        <f>SUM(G92:G102)</f>
        <v>30048</v>
      </c>
      <c r="H103" s="133">
        <f>SUM(H92:H102)</f>
        <v>2029361</v>
      </c>
      <c r="I103" s="78"/>
      <c r="J103" s="601"/>
    </row>
    <row r="104" spans="1:10" ht="21" customHeight="1" thickBot="1" x14ac:dyDescent="0.4">
      <c r="A104" s="130" t="s">
        <v>303</v>
      </c>
      <c r="B104" s="131"/>
      <c r="C104" s="132"/>
      <c r="D104" s="132"/>
      <c r="E104" s="132"/>
      <c r="F104" s="133">
        <f>F78+F43+F90+F56+F103</f>
        <v>28068100</v>
      </c>
      <c r="G104" s="133">
        <f>G78+G43+G90+G56+G103</f>
        <v>1490360</v>
      </c>
      <c r="H104" s="133">
        <f>H78+H43+H90+H56+H103</f>
        <v>29558460</v>
      </c>
      <c r="J104" s="601"/>
    </row>
    <row r="106" spans="1:10" ht="21" customHeight="1" x14ac:dyDescent="0.25">
      <c r="F106" s="78"/>
      <c r="G106" s="78"/>
    </row>
    <row r="107" spans="1:10" ht="21" customHeight="1" x14ac:dyDescent="0.25">
      <c r="F107" s="78"/>
    </row>
  </sheetData>
  <mergeCells count="2">
    <mergeCell ref="A1:E1"/>
    <mergeCell ref="A2:H2"/>
  </mergeCells>
  <phoneticPr fontId="0" type="noConversion"/>
  <printOptions horizontalCentered="1" verticalCentered="1"/>
  <pageMargins left="0.59055118110236227" right="0" top="0" bottom="0" header="0.51181102362204722" footer="0.51181102362204722"/>
  <pageSetup paperSize="9" scale="45" orientation="portrait" r:id="rId1"/>
  <headerFooter alignWithMargins="0">
    <oddHeader xml:space="preserve">&amp;R&amp;"Times New Roman CE,Félkövér"&amp;16
&amp;"-,Félkövér"
3. melléklet a 15/2025. (V.30.) önkormányzati rendelethez
"3. melléklet a 4/2025. (II.28) önkormányzati rendelethez"&amp;"Times New Roman CE,Félkövér"
</oddHeader>
  </headerFooter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57749-547E-4826-9BA0-2ABA9620B8C8}">
  <dimension ref="A1:EY49"/>
  <sheetViews>
    <sheetView zoomScale="50" zoomScaleNormal="50" zoomScaleSheetLayoutView="50" workbookViewId="0">
      <selection activeCell="A14" sqref="A14"/>
    </sheetView>
  </sheetViews>
  <sheetFormatPr defaultRowHeight="26.45" customHeight="1" x14ac:dyDescent="0.6"/>
  <cols>
    <col min="1" max="1" width="186.33203125" style="646" customWidth="1"/>
    <col min="2" max="2" width="49.83203125" style="709" customWidth="1"/>
    <col min="3" max="3" width="38.33203125" style="709" customWidth="1"/>
    <col min="4" max="5" width="50" style="709" customWidth="1"/>
    <col min="6" max="6" width="37.6640625" style="709" customWidth="1"/>
    <col min="7" max="8" width="50" style="709" customWidth="1"/>
    <col min="9" max="9" width="38.1640625" style="709" customWidth="1"/>
    <col min="10" max="11" width="50" style="709" customWidth="1"/>
    <col min="12" max="12" width="38.33203125" style="709" customWidth="1"/>
    <col min="13" max="14" width="50" style="709" customWidth="1"/>
    <col min="15" max="15" width="38.33203125" style="709" customWidth="1"/>
    <col min="16" max="16" width="50" style="709" customWidth="1"/>
    <col min="17" max="17" width="186.33203125" style="646" customWidth="1"/>
    <col min="18" max="18" width="50" style="709" customWidth="1"/>
    <col min="19" max="19" width="38.33203125" style="709" customWidth="1"/>
    <col min="20" max="21" width="49.83203125" style="709" customWidth="1"/>
    <col min="22" max="22" width="38.1640625" style="709" customWidth="1"/>
    <col min="23" max="23" width="49.83203125" style="709" customWidth="1"/>
    <col min="24" max="24" width="50" style="709" customWidth="1"/>
    <col min="25" max="25" width="38.33203125" style="709" customWidth="1"/>
    <col min="26" max="27" width="49.83203125" style="709" customWidth="1"/>
    <col min="28" max="28" width="38.1640625" style="709" customWidth="1"/>
    <col min="29" max="30" width="50" style="709" customWidth="1"/>
    <col min="31" max="31" width="38.33203125" style="709" customWidth="1"/>
    <col min="32" max="32" width="50" style="709" customWidth="1"/>
    <col min="33" max="33" width="186.33203125" style="646" customWidth="1"/>
    <col min="34" max="34" width="50" style="646" customWidth="1"/>
    <col min="35" max="35" width="38.33203125" style="646" customWidth="1"/>
    <col min="36" max="36" width="49.83203125" style="646" customWidth="1"/>
    <col min="37" max="37" width="50" style="646" customWidth="1"/>
    <col min="38" max="38" width="45" style="646" customWidth="1"/>
    <col min="39" max="39" width="50.33203125" style="660" customWidth="1"/>
    <col min="40" max="40" width="50" style="660" customWidth="1"/>
    <col min="41" max="41" width="45" style="660" customWidth="1"/>
    <col min="42" max="42" width="50" style="709" customWidth="1"/>
    <col min="43" max="43" width="38.33203125" style="646" customWidth="1"/>
    <col min="44" max="255" width="9.33203125" style="646"/>
    <col min="256" max="256" width="186.33203125" style="646" customWidth="1"/>
    <col min="257" max="257" width="49.83203125" style="646" customWidth="1"/>
    <col min="258" max="258" width="38.33203125" style="646" customWidth="1"/>
    <col min="259" max="260" width="50" style="646" customWidth="1"/>
    <col min="261" max="261" width="37.6640625" style="646" customWidth="1"/>
    <col min="262" max="263" width="50" style="646" customWidth="1"/>
    <col min="264" max="264" width="38.1640625" style="646" customWidth="1"/>
    <col min="265" max="266" width="50" style="646" customWidth="1"/>
    <col min="267" max="267" width="38.33203125" style="646" customWidth="1"/>
    <col min="268" max="269" width="50" style="646" customWidth="1"/>
    <col min="270" max="270" width="38.33203125" style="646" customWidth="1"/>
    <col min="271" max="271" width="50" style="646" customWidth="1"/>
    <col min="272" max="272" width="186.33203125" style="646" customWidth="1"/>
    <col min="273" max="273" width="50" style="646" customWidth="1"/>
    <col min="274" max="274" width="38.33203125" style="646" customWidth="1"/>
    <col min="275" max="276" width="49.83203125" style="646" customWidth="1"/>
    <col min="277" max="277" width="38.1640625" style="646" customWidth="1"/>
    <col min="278" max="278" width="49.83203125" style="646" customWidth="1"/>
    <col min="279" max="279" width="50" style="646" customWidth="1"/>
    <col min="280" max="280" width="38.33203125" style="646" customWidth="1"/>
    <col min="281" max="282" width="49.83203125" style="646" customWidth="1"/>
    <col min="283" max="283" width="38.1640625" style="646" customWidth="1"/>
    <col min="284" max="285" width="50" style="646" customWidth="1"/>
    <col min="286" max="286" width="38.33203125" style="646" customWidth="1"/>
    <col min="287" max="287" width="50" style="646" customWidth="1"/>
    <col min="288" max="288" width="186.33203125" style="646" customWidth="1"/>
    <col min="289" max="289" width="50" style="646" customWidth="1"/>
    <col min="290" max="290" width="38.33203125" style="646" customWidth="1"/>
    <col min="291" max="291" width="49.83203125" style="646" customWidth="1"/>
    <col min="292" max="292" width="50" style="646" customWidth="1"/>
    <col min="293" max="293" width="45" style="646" customWidth="1"/>
    <col min="294" max="294" width="50.33203125" style="646" customWidth="1"/>
    <col min="295" max="295" width="50" style="646" customWidth="1"/>
    <col min="296" max="296" width="45" style="646" customWidth="1"/>
    <col min="297" max="297" width="50" style="646" customWidth="1"/>
    <col min="298" max="298" width="51" style="646" customWidth="1"/>
    <col min="299" max="511" width="9.33203125" style="646"/>
    <col min="512" max="512" width="186.33203125" style="646" customWidth="1"/>
    <col min="513" max="513" width="49.83203125" style="646" customWidth="1"/>
    <col min="514" max="514" width="38.33203125" style="646" customWidth="1"/>
    <col min="515" max="516" width="50" style="646" customWidth="1"/>
    <col min="517" max="517" width="37.6640625" style="646" customWidth="1"/>
    <col min="518" max="519" width="50" style="646" customWidth="1"/>
    <col min="520" max="520" width="38.1640625" style="646" customWidth="1"/>
    <col min="521" max="522" width="50" style="646" customWidth="1"/>
    <col min="523" max="523" width="38.33203125" style="646" customWidth="1"/>
    <col min="524" max="525" width="50" style="646" customWidth="1"/>
    <col min="526" max="526" width="38.33203125" style="646" customWidth="1"/>
    <col min="527" max="527" width="50" style="646" customWidth="1"/>
    <col min="528" max="528" width="186.33203125" style="646" customWidth="1"/>
    <col min="529" max="529" width="50" style="646" customWidth="1"/>
    <col min="530" max="530" width="38.33203125" style="646" customWidth="1"/>
    <col min="531" max="532" width="49.83203125" style="646" customWidth="1"/>
    <col min="533" max="533" width="38.1640625" style="646" customWidth="1"/>
    <col min="534" max="534" width="49.83203125" style="646" customWidth="1"/>
    <col min="535" max="535" width="50" style="646" customWidth="1"/>
    <col min="536" max="536" width="38.33203125" style="646" customWidth="1"/>
    <col min="537" max="538" width="49.83203125" style="646" customWidth="1"/>
    <col min="539" max="539" width="38.1640625" style="646" customWidth="1"/>
    <col min="540" max="541" width="50" style="646" customWidth="1"/>
    <col min="542" max="542" width="38.33203125" style="646" customWidth="1"/>
    <col min="543" max="543" width="50" style="646" customWidth="1"/>
    <col min="544" max="544" width="186.33203125" style="646" customWidth="1"/>
    <col min="545" max="545" width="50" style="646" customWidth="1"/>
    <col min="546" max="546" width="38.33203125" style="646" customWidth="1"/>
    <col min="547" max="547" width="49.83203125" style="646" customWidth="1"/>
    <col min="548" max="548" width="50" style="646" customWidth="1"/>
    <col min="549" max="549" width="45" style="646" customWidth="1"/>
    <col min="550" max="550" width="50.33203125" style="646" customWidth="1"/>
    <col min="551" max="551" width="50" style="646" customWidth="1"/>
    <col min="552" max="552" width="45" style="646" customWidth="1"/>
    <col min="553" max="553" width="50" style="646" customWidth="1"/>
    <col min="554" max="554" width="51" style="646" customWidth="1"/>
    <col min="555" max="767" width="9.33203125" style="646"/>
    <col min="768" max="768" width="186.33203125" style="646" customWidth="1"/>
    <col min="769" max="769" width="49.83203125" style="646" customWidth="1"/>
    <col min="770" max="770" width="38.33203125" style="646" customWidth="1"/>
    <col min="771" max="772" width="50" style="646" customWidth="1"/>
    <col min="773" max="773" width="37.6640625" style="646" customWidth="1"/>
    <col min="774" max="775" width="50" style="646" customWidth="1"/>
    <col min="776" max="776" width="38.1640625" style="646" customWidth="1"/>
    <col min="777" max="778" width="50" style="646" customWidth="1"/>
    <col min="779" max="779" width="38.33203125" style="646" customWidth="1"/>
    <col min="780" max="781" width="50" style="646" customWidth="1"/>
    <col min="782" max="782" width="38.33203125" style="646" customWidth="1"/>
    <col min="783" max="783" width="50" style="646" customWidth="1"/>
    <col min="784" max="784" width="186.33203125" style="646" customWidth="1"/>
    <col min="785" max="785" width="50" style="646" customWidth="1"/>
    <col min="786" max="786" width="38.33203125" style="646" customWidth="1"/>
    <col min="787" max="788" width="49.83203125" style="646" customWidth="1"/>
    <col min="789" max="789" width="38.1640625" style="646" customWidth="1"/>
    <col min="790" max="790" width="49.83203125" style="646" customWidth="1"/>
    <col min="791" max="791" width="50" style="646" customWidth="1"/>
    <col min="792" max="792" width="38.33203125" style="646" customWidth="1"/>
    <col min="793" max="794" width="49.83203125" style="646" customWidth="1"/>
    <col min="795" max="795" width="38.1640625" style="646" customWidth="1"/>
    <col min="796" max="797" width="50" style="646" customWidth="1"/>
    <col min="798" max="798" width="38.33203125" style="646" customWidth="1"/>
    <col min="799" max="799" width="50" style="646" customWidth="1"/>
    <col min="800" max="800" width="186.33203125" style="646" customWidth="1"/>
    <col min="801" max="801" width="50" style="646" customWidth="1"/>
    <col min="802" max="802" width="38.33203125" style="646" customWidth="1"/>
    <col min="803" max="803" width="49.83203125" style="646" customWidth="1"/>
    <col min="804" max="804" width="50" style="646" customWidth="1"/>
    <col min="805" max="805" width="45" style="646" customWidth="1"/>
    <col min="806" max="806" width="50.33203125" style="646" customWidth="1"/>
    <col min="807" max="807" width="50" style="646" customWidth="1"/>
    <col min="808" max="808" width="45" style="646" customWidth="1"/>
    <col min="809" max="809" width="50" style="646" customWidth="1"/>
    <col min="810" max="810" width="51" style="646" customWidth="1"/>
    <col min="811" max="1023" width="9.33203125" style="646"/>
    <col min="1024" max="1024" width="186.33203125" style="646" customWidth="1"/>
    <col min="1025" max="1025" width="49.83203125" style="646" customWidth="1"/>
    <col min="1026" max="1026" width="38.33203125" style="646" customWidth="1"/>
    <col min="1027" max="1028" width="50" style="646" customWidth="1"/>
    <col min="1029" max="1029" width="37.6640625" style="646" customWidth="1"/>
    <col min="1030" max="1031" width="50" style="646" customWidth="1"/>
    <col min="1032" max="1032" width="38.1640625" style="646" customWidth="1"/>
    <col min="1033" max="1034" width="50" style="646" customWidth="1"/>
    <col min="1035" max="1035" width="38.33203125" style="646" customWidth="1"/>
    <col min="1036" max="1037" width="50" style="646" customWidth="1"/>
    <col min="1038" max="1038" width="38.33203125" style="646" customWidth="1"/>
    <col min="1039" max="1039" width="50" style="646" customWidth="1"/>
    <col min="1040" max="1040" width="186.33203125" style="646" customWidth="1"/>
    <col min="1041" max="1041" width="50" style="646" customWidth="1"/>
    <col min="1042" max="1042" width="38.33203125" style="646" customWidth="1"/>
    <col min="1043" max="1044" width="49.83203125" style="646" customWidth="1"/>
    <col min="1045" max="1045" width="38.1640625" style="646" customWidth="1"/>
    <col min="1046" max="1046" width="49.83203125" style="646" customWidth="1"/>
    <col min="1047" max="1047" width="50" style="646" customWidth="1"/>
    <col min="1048" max="1048" width="38.33203125" style="646" customWidth="1"/>
    <col min="1049" max="1050" width="49.83203125" style="646" customWidth="1"/>
    <col min="1051" max="1051" width="38.1640625" style="646" customWidth="1"/>
    <col min="1052" max="1053" width="50" style="646" customWidth="1"/>
    <col min="1054" max="1054" width="38.33203125" style="646" customWidth="1"/>
    <col min="1055" max="1055" width="50" style="646" customWidth="1"/>
    <col min="1056" max="1056" width="186.33203125" style="646" customWidth="1"/>
    <col min="1057" max="1057" width="50" style="646" customWidth="1"/>
    <col min="1058" max="1058" width="38.33203125" style="646" customWidth="1"/>
    <col min="1059" max="1059" width="49.83203125" style="646" customWidth="1"/>
    <col min="1060" max="1060" width="50" style="646" customWidth="1"/>
    <col min="1061" max="1061" width="45" style="646" customWidth="1"/>
    <col min="1062" max="1062" width="50.33203125" style="646" customWidth="1"/>
    <col min="1063" max="1063" width="50" style="646" customWidth="1"/>
    <col min="1064" max="1064" width="45" style="646" customWidth="1"/>
    <col min="1065" max="1065" width="50" style="646" customWidth="1"/>
    <col min="1066" max="1066" width="51" style="646" customWidth="1"/>
    <col min="1067" max="1279" width="9.33203125" style="646"/>
    <col min="1280" max="1280" width="186.33203125" style="646" customWidth="1"/>
    <col min="1281" max="1281" width="49.83203125" style="646" customWidth="1"/>
    <col min="1282" max="1282" width="38.33203125" style="646" customWidth="1"/>
    <col min="1283" max="1284" width="50" style="646" customWidth="1"/>
    <col min="1285" max="1285" width="37.6640625" style="646" customWidth="1"/>
    <col min="1286" max="1287" width="50" style="646" customWidth="1"/>
    <col min="1288" max="1288" width="38.1640625" style="646" customWidth="1"/>
    <col min="1289" max="1290" width="50" style="646" customWidth="1"/>
    <col min="1291" max="1291" width="38.33203125" style="646" customWidth="1"/>
    <col min="1292" max="1293" width="50" style="646" customWidth="1"/>
    <col min="1294" max="1294" width="38.33203125" style="646" customWidth="1"/>
    <col min="1295" max="1295" width="50" style="646" customWidth="1"/>
    <col min="1296" max="1296" width="186.33203125" style="646" customWidth="1"/>
    <col min="1297" max="1297" width="50" style="646" customWidth="1"/>
    <col min="1298" max="1298" width="38.33203125" style="646" customWidth="1"/>
    <col min="1299" max="1300" width="49.83203125" style="646" customWidth="1"/>
    <col min="1301" max="1301" width="38.1640625" style="646" customWidth="1"/>
    <col min="1302" max="1302" width="49.83203125" style="646" customWidth="1"/>
    <col min="1303" max="1303" width="50" style="646" customWidth="1"/>
    <col min="1304" max="1304" width="38.33203125" style="646" customWidth="1"/>
    <col min="1305" max="1306" width="49.83203125" style="646" customWidth="1"/>
    <col min="1307" max="1307" width="38.1640625" style="646" customWidth="1"/>
    <col min="1308" max="1309" width="50" style="646" customWidth="1"/>
    <col min="1310" max="1310" width="38.33203125" style="646" customWidth="1"/>
    <col min="1311" max="1311" width="50" style="646" customWidth="1"/>
    <col min="1312" max="1312" width="186.33203125" style="646" customWidth="1"/>
    <col min="1313" max="1313" width="50" style="646" customWidth="1"/>
    <col min="1314" max="1314" width="38.33203125" style="646" customWidth="1"/>
    <col min="1315" max="1315" width="49.83203125" style="646" customWidth="1"/>
    <col min="1316" max="1316" width="50" style="646" customWidth="1"/>
    <col min="1317" max="1317" width="45" style="646" customWidth="1"/>
    <col min="1318" max="1318" width="50.33203125" style="646" customWidth="1"/>
    <col min="1319" max="1319" width="50" style="646" customWidth="1"/>
    <col min="1320" max="1320" width="45" style="646" customWidth="1"/>
    <col min="1321" max="1321" width="50" style="646" customWidth="1"/>
    <col min="1322" max="1322" width="51" style="646" customWidth="1"/>
    <col min="1323" max="1535" width="9.33203125" style="646"/>
    <col min="1536" max="1536" width="186.33203125" style="646" customWidth="1"/>
    <col min="1537" max="1537" width="49.83203125" style="646" customWidth="1"/>
    <col min="1538" max="1538" width="38.33203125" style="646" customWidth="1"/>
    <col min="1539" max="1540" width="50" style="646" customWidth="1"/>
    <col min="1541" max="1541" width="37.6640625" style="646" customWidth="1"/>
    <col min="1542" max="1543" width="50" style="646" customWidth="1"/>
    <col min="1544" max="1544" width="38.1640625" style="646" customWidth="1"/>
    <col min="1545" max="1546" width="50" style="646" customWidth="1"/>
    <col min="1547" max="1547" width="38.33203125" style="646" customWidth="1"/>
    <col min="1548" max="1549" width="50" style="646" customWidth="1"/>
    <col min="1550" max="1550" width="38.33203125" style="646" customWidth="1"/>
    <col min="1551" max="1551" width="50" style="646" customWidth="1"/>
    <col min="1552" max="1552" width="186.33203125" style="646" customWidth="1"/>
    <col min="1553" max="1553" width="50" style="646" customWidth="1"/>
    <col min="1554" max="1554" width="38.33203125" style="646" customWidth="1"/>
    <col min="1555" max="1556" width="49.83203125" style="646" customWidth="1"/>
    <col min="1557" max="1557" width="38.1640625" style="646" customWidth="1"/>
    <col min="1558" max="1558" width="49.83203125" style="646" customWidth="1"/>
    <col min="1559" max="1559" width="50" style="646" customWidth="1"/>
    <col min="1560" max="1560" width="38.33203125" style="646" customWidth="1"/>
    <col min="1561" max="1562" width="49.83203125" style="646" customWidth="1"/>
    <col min="1563" max="1563" width="38.1640625" style="646" customWidth="1"/>
    <col min="1564" max="1565" width="50" style="646" customWidth="1"/>
    <col min="1566" max="1566" width="38.33203125" style="646" customWidth="1"/>
    <col min="1567" max="1567" width="50" style="646" customWidth="1"/>
    <col min="1568" max="1568" width="186.33203125" style="646" customWidth="1"/>
    <col min="1569" max="1569" width="50" style="646" customWidth="1"/>
    <col min="1570" max="1570" width="38.33203125" style="646" customWidth="1"/>
    <col min="1571" max="1571" width="49.83203125" style="646" customWidth="1"/>
    <col min="1572" max="1572" width="50" style="646" customWidth="1"/>
    <col min="1573" max="1573" width="45" style="646" customWidth="1"/>
    <col min="1574" max="1574" width="50.33203125" style="646" customWidth="1"/>
    <col min="1575" max="1575" width="50" style="646" customWidth="1"/>
    <col min="1576" max="1576" width="45" style="646" customWidth="1"/>
    <col min="1577" max="1577" width="50" style="646" customWidth="1"/>
    <col min="1578" max="1578" width="51" style="646" customWidth="1"/>
    <col min="1579" max="1791" width="9.33203125" style="646"/>
    <col min="1792" max="1792" width="186.33203125" style="646" customWidth="1"/>
    <col min="1793" max="1793" width="49.83203125" style="646" customWidth="1"/>
    <col min="1794" max="1794" width="38.33203125" style="646" customWidth="1"/>
    <col min="1795" max="1796" width="50" style="646" customWidth="1"/>
    <col min="1797" max="1797" width="37.6640625" style="646" customWidth="1"/>
    <col min="1798" max="1799" width="50" style="646" customWidth="1"/>
    <col min="1800" max="1800" width="38.1640625" style="646" customWidth="1"/>
    <col min="1801" max="1802" width="50" style="646" customWidth="1"/>
    <col min="1803" max="1803" width="38.33203125" style="646" customWidth="1"/>
    <col min="1804" max="1805" width="50" style="646" customWidth="1"/>
    <col min="1806" max="1806" width="38.33203125" style="646" customWidth="1"/>
    <col min="1807" max="1807" width="50" style="646" customWidth="1"/>
    <col min="1808" max="1808" width="186.33203125" style="646" customWidth="1"/>
    <col min="1809" max="1809" width="50" style="646" customWidth="1"/>
    <col min="1810" max="1810" width="38.33203125" style="646" customWidth="1"/>
    <col min="1811" max="1812" width="49.83203125" style="646" customWidth="1"/>
    <col min="1813" max="1813" width="38.1640625" style="646" customWidth="1"/>
    <col min="1814" max="1814" width="49.83203125" style="646" customWidth="1"/>
    <col min="1815" max="1815" width="50" style="646" customWidth="1"/>
    <col min="1816" max="1816" width="38.33203125" style="646" customWidth="1"/>
    <col min="1817" max="1818" width="49.83203125" style="646" customWidth="1"/>
    <col min="1819" max="1819" width="38.1640625" style="646" customWidth="1"/>
    <col min="1820" max="1821" width="50" style="646" customWidth="1"/>
    <col min="1822" max="1822" width="38.33203125" style="646" customWidth="1"/>
    <col min="1823" max="1823" width="50" style="646" customWidth="1"/>
    <col min="1824" max="1824" width="186.33203125" style="646" customWidth="1"/>
    <col min="1825" max="1825" width="50" style="646" customWidth="1"/>
    <col min="1826" max="1826" width="38.33203125" style="646" customWidth="1"/>
    <col min="1827" max="1827" width="49.83203125" style="646" customWidth="1"/>
    <col min="1828" max="1828" width="50" style="646" customWidth="1"/>
    <col min="1829" max="1829" width="45" style="646" customWidth="1"/>
    <col min="1830" max="1830" width="50.33203125" style="646" customWidth="1"/>
    <col min="1831" max="1831" width="50" style="646" customWidth="1"/>
    <col min="1832" max="1832" width="45" style="646" customWidth="1"/>
    <col min="1833" max="1833" width="50" style="646" customWidth="1"/>
    <col min="1834" max="1834" width="51" style="646" customWidth="1"/>
    <col min="1835" max="2047" width="9.33203125" style="646"/>
    <col min="2048" max="2048" width="186.33203125" style="646" customWidth="1"/>
    <col min="2049" max="2049" width="49.83203125" style="646" customWidth="1"/>
    <col min="2050" max="2050" width="38.33203125" style="646" customWidth="1"/>
    <col min="2051" max="2052" width="50" style="646" customWidth="1"/>
    <col min="2053" max="2053" width="37.6640625" style="646" customWidth="1"/>
    <col min="2054" max="2055" width="50" style="646" customWidth="1"/>
    <col min="2056" max="2056" width="38.1640625" style="646" customWidth="1"/>
    <col min="2057" max="2058" width="50" style="646" customWidth="1"/>
    <col min="2059" max="2059" width="38.33203125" style="646" customWidth="1"/>
    <col min="2060" max="2061" width="50" style="646" customWidth="1"/>
    <col min="2062" max="2062" width="38.33203125" style="646" customWidth="1"/>
    <col min="2063" max="2063" width="50" style="646" customWidth="1"/>
    <col min="2064" max="2064" width="186.33203125" style="646" customWidth="1"/>
    <col min="2065" max="2065" width="50" style="646" customWidth="1"/>
    <col min="2066" max="2066" width="38.33203125" style="646" customWidth="1"/>
    <col min="2067" max="2068" width="49.83203125" style="646" customWidth="1"/>
    <col min="2069" max="2069" width="38.1640625" style="646" customWidth="1"/>
    <col min="2070" max="2070" width="49.83203125" style="646" customWidth="1"/>
    <col min="2071" max="2071" width="50" style="646" customWidth="1"/>
    <col min="2072" max="2072" width="38.33203125" style="646" customWidth="1"/>
    <col min="2073" max="2074" width="49.83203125" style="646" customWidth="1"/>
    <col min="2075" max="2075" width="38.1640625" style="646" customWidth="1"/>
    <col min="2076" max="2077" width="50" style="646" customWidth="1"/>
    <col min="2078" max="2078" width="38.33203125" style="646" customWidth="1"/>
    <col min="2079" max="2079" width="50" style="646" customWidth="1"/>
    <col min="2080" max="2080" width="186.33203125" style="646" customWidth="1"/>
    <col min="2081" max="2081" width="50" style="646" customWidth="1"/>
    <col min="2082" max="2082" width="38.33203125" style="646" customWidth="1"/>
    <col min="2083" max="2083" width="49.83203125" style="646" customWidth="1"/>
    <col min="2084" max="2084" width="50" style="646" customWidth="1"/>
    <col min="2085" max="2085" width="45" style="646" customWidth="1"/>
    <col min="2086" max="2086" width="50.33203125" style="646" customWidth="1"/>
    <col min="2087" max="2087" width="50" style="646" customWidth="1"/>
    <col min="2088" max="2088" width="45" style="646" customWidth="1"/>
    <col min="2089" max="2089" width="50" style="646" customWidth="1"/>
    <col min="2090" max="2090" width="51" style="646" customWidth="1"/>
    <col min="2091" max="2303" width="9.33203125" style="646"/>
    <col min="2304" max="2304" width="186.33203125" style="646" customWidth="1"/>
    <col min="2305" max="2305" width="49.83203125" style="646" customWidth="1"/>
    <col min="2306" max="2306" width="38.33203125" style="646" customWidth="1"/>
    <col min="2307" max="2308" width="50" style="646" customWidth="1"/>
    <col min="2309" max="2309" width="37.6640625" style="646" customWidth="1"/>
    <col min="2310" max="2311" width="50" style="646" customWidth="1"/>
    <col min="2312" max="2312" width="38.1640625" style="646" customWidth="1"/>
    <col min="2313" max="2314" width="50" style="646" customWidth="1"/>
    <col min="2315" max="2315" width="38.33203125" style="646" customWidth="1"/>
    <col min="2316" max="2317" width="50" style="646" customWidth="1"/>
    <col min="2318" max="2318" width="38.33203125" style="646" customWidth="1"/>
    <col min="2319" max="2319" width="50" style="646" customWidth="1"/>
    <col min="2320" max="2320" width="186.33203125" style="646" customWidth="1"/>
    <col min="2321" max="2321" width="50" style="646" customWidth="1"/>
    <col min="2322" max="2322" width="38.33203125" style="646" customWidth="1"/>
    <col min="2323" max="2324" width="49.83203125" style="646" customWidth="1"/>
    <col min="2325" max="2325" width="38.1640625" style="646" customWidth="1"/>
    <col min="2326" max="2326" width="49.83203125" style="646" customWidth="1"/>
    <col min="2327" max="2327" width="50" style="646" customWidth="1"/>
    <col min="2328" max="2328" width="38.33203125" style="646" customWidth="1"/>
    <col min="2329" max="2330" width="49.83203125" style="646" customWidth="1"/>
    <col min="2331" max="2331" width="38.1640625" style="646" customWidth="1"/>
    <col min="2332" max="2333" width="50" style="646" customWidth="1"/>
    <col min="2334" max="2334" width="38.33203125" style="646" customWidth="1"/>
    <col min="2335" max="2335" width="50" style="646" customWidth="1"/>
    <col min="2336" max="2336" width="186.33203125" style="646" customWidth="1"/>
    <col min="2337" max="2337" width="50" style="646" customWidth="1"/>
    <col min="2338" max="2338" width="38.33203125" style="646" customWidth="1"/>
    <col min="2339" max="2339" width="49.83203125" style="646" customWidth="1"/>
    <col min="2340" max="2340" width="50" style="646" customWidth="1"/>
    <col min="2341" max="2341" width="45" style="646" customWidth="1"/>
    <col min="2342" max="2342" width="50.33203125" style="646" customWidth="1"/>
    <col min="2343" max="2343" width="50" style="646" customWidth="1"/>
    <col min="2344" max="2344" width="45" style="646" customWidth="1"/>
    <col min="2345" max="2345" width="50" style="646" customWidth="1"/>
    <col min="2346" max="2346" width="51" style="646" customWidth="1"/>
    <col min="2347" max="2559" width="9.33203125" style="646"/>
    <col min="2560" max="2560" width="186.33203125" style="646" customWidth="1"/>
    <col min="2561" max="2561" width="49.83203125" style="646" customWidth="1"/>
    <col min="2562" max="2562" width="38.33203125" style="646" customWidth="1"/>
    <col min="2563" max="2564" width="50" style="646" customWidth="1"/>
    <col min="2565" max="2565" width="37.6640625" style="646" customWidth="1"/>
    <col min="2566" max="2567" width="50" style="646" customWidth="1"/>
    <col min="2568" max="2568" width="38.1640625" style="646" customWidth="1"/>
    <col min="2569" max="2570" width="50" style="646" customWidth="1"/>
    <col min="2571" max="2571" width="38.33203125" style="646" customWidth="1"/>
    <col min="2572" max="2573" width="50" style="646" customWidth="1"/>
    <col min="2574" max="2574" width="38.33203125" style="646" customWidth="1"/>
    <col min="2575" max="2575" width="50" style="646" customWidth="1"/>
    <col min="2576" max="2576" width="186.33203125" style="646" customWidth="1"/>
    <col min="2577" max="2577" width="50" style="646" customWidth="1"/>
    <col min="2578" max="2578" width="38.33203125" style="646" customWidth="1"/>
    <col min="2579" max="2580" width="49.83203125" style="646" customWidth="1"/>
    <col min="2581" max="2581" width="38.1640625" style="646" customWidth="1"/>
    <col min="2582" max="2582" width="49.83203125" style="646" customWidth="1"/>
    <col min="2583" max="2583" width="50" style="646" customWidth="1"/>
    <col min="2584" max="2584" width="38.33203125" style="646" customWidth="1"/>
    <col min="2585" max="2586" width="49.83203125" style="646" customWidth="1"/>
    <col min="2587" max="2587" width="38.1640625" style="646" customWidth="1"/>
    <col min="2588" max="2589" width="50" style="646" customWidth="1"/>
    <col min="2590" max="2590" width="38.33203125" style="646" customWidth="1"/>
    <col min="2591" max="2591" width="50" style="646" customWidth="1"/>
    <col min="2592" max="2592" width="186.33203125" style="646" customWidth="1"/>
    <col min="2593" max="2593" width="50" style="646" customWidth="1"/>
    <col min="2594" max="2594" width="38.33203125" style="646" customWidth="1"/>
    <col min="2595" max="2595" width="49.83203125" style="646" customWidth="1"/>
    <col min="2596" max="2596" width="50" style="646" customWidth="1"/>
    <col min="2597" max="2597" width="45" style="646" customWidth="1"/>
    <col min="2598" max="2598" width="50.33203125" style="646" customWidth="1"/>
    <col min="2599" max="2599" width="50" style="646" customWidth="1"/>
    <col min="2600" max="2600" width="45" style="646" customWidth="1"/>
    <col min="2601" max="2601" width="50" style="646" customWidth="1"/>
    <col min="2602" max="2602" width="51" style="646" customWidth="1"/>
    <col min="2603" max="2815" width="9.33203125" style="646"/>
    <col min="2816" max="2816" width="186.33203125" style="646" customWidth="1"/>
    <col min="2817" max="2817" width="49.83203125" style="646" customWidth="1"/>
    <col min="2818" max="2818" width="38.33203125" style="646" customWidth="1"/>
    <col min="2819" max="2820" width="50" style="646" customWidth="1"/>
    <col min="2821" max="2821" width="37.6640625" style="646" customWidth="1"/>
    <col min="2822" max="2823" width="50" style="646" customWidth="1"/>
    <col min="2824" max="2824" width="38.1640625" style="646" customWidth="1"/>
    <col min="2825" max="2826" width="50" style="646" customWidth="1"/>
    <col min="2827" max="2827" width="38.33203125" style="646" customWidth="1"/>
    <col min="2828" max="2829" width="50" style="646" customWidth="1"/>
    <col min="2830" max="2830" width="38.33203125" style="646" customWidth="1"/>
    <col min="2831" max="2831" width="50" style="646" customWidth="1"/>
    <col min="2832" max="2832" width="186.33203125" style="646" customWidth="1"/>
    <col min="2833" max="2833" width="50" style="646" customWidth="1"/>
    <col min="2834" max="2834" width="38.33203125" style="646" customWidth="1"/>
    <col min="2835" max="2836" width="49.83203125" style="646" customWidth="1"/>
    <col min="2837" max="2837" width="38.1640625" style="646" customWidth="1"/>
    <col min="2838" max="2838" width="49.83203125" style="646" customWidth="1"/>
    <col min="2839" max="2839" width="50" style="646" customWidth="1"/>
    <col min="2840" max="2840" width="38.33203125" style="646" customWidth="1"/>
    <col min="2841" max="2842" width="49.83203125" style="646" customWidth="1"/>
    <col min="2843" max="2843" width="38.1640625" style="646" customWidth="1"/>
    <col min="2844" max="2845" width="50" style="646" customWidth="1"/>
    <col min="2846" max="2846" width="38.33203125" style="646" customWidth="1"/>
    <col min="2847" max="2847" width="50" style="646" customWidth="1"/>
    <col min="2848" max="2848" width="186.33203125" style="646" customWidth="1"/>
    <col min="2849" max="2849" width="50" style="646" customWidth="1"/>
    <col min="2850" max="2850" width="38.33203125" style="646" customWidth="1"/>
    <col min="2851" max="2851" width="49.83203125" style="646" customWidth="1"/>
    <col min="2852" max="2852" width="50" style="646" customWidth="1"/>
    <col min="2853" max="2853" width="45" style="646" customWidth="1"/>
    <col min="2854" max="2854" width="50.33203125" style="646" customWidth="1"/>
    <col min="2855" max="2855" width="50" style="646" customWidth="1"/>
    <col min="2856" max="2856" width="45" style="646" customWidth="1"/>
    <col min="2857" max="2857" width="50" style="646" customWidth="1"/>
    <col min="2858" max="2858" width="51" style="646" customWidth="1"/>
    <col min="2859" max="3071" width="9.33203125" style="646"/>
    <col min="3072" max="3072" width="186.33203125" style="646" customWidth="1"/>
    <col min="3073" max="3073" width="49.83203125" style="646" customWidth="1"/>
    <col min="3074" max="3074" width="38.33203125" style="646" customWidth="1"/>
    <col min="3075" max="3076" width="50" style="646" customWidth="1"/>
    <col min="3077" max="3077" width="37.6640625" style="646" customWidth="1"/>
    <col min="3078" max="3079" width="50" style="646" customWidth="1"/>
    <col min="3080" max="3080" width="38.1640625" style="646" customWidth="1"/>
    <col min="3081" max="3082" width="50" style="646" customWidth="1"/>
    <col min="3083" max="3083" width="38.33203125" style="646" customWidth="1"/>
    <col min="3084" max="3085" width="50" style="646" customWidth="1"/>
    <col min="3086" max="3086" width="38.33203125" style="646" customWidth="1"/>
    <col min="3087" max="3087" width="50" style="646" customWidth="1"/>
    <col min="3088" max="3088" width="186.33203125" style="646" customWidth="1"/>
    <col min="3089" max="3089" width="50" style="646" customWidth="1"/>
    <col min="3090" max="3090" width="38.33203125" style="646" customWidth="1"/>
    <col min="3091" max="3092" width="49.83203125" style="646" customWidth="1"/>
    <col min="3093" max="3093" width="38.1640625" style="646" customWidth="1"/>
    <col min="3094" max="3094" width="49.83203125" style="646" customWidth="1"/>
    <col min="3095" max="3095" width="50" style="646" customWidth="1"/>
    <col min="3096" max="3096" width="38.33203125" style="646" customWidth="1"/>
    <col min="3097" max="3098" width="49.83203125" style="646" customWidth="1"/>
    <col min="3099" max="3099" width="38.1640625" style="646" customWidth="1"/>
    <col min="3100" max="3101" width="50" style="646" customWidth="1"/>
    <col min="3102" max="3102" width="38.33203125" style="646" customWidth="1"/>
    <col min="3103" max="3103" width="50" style="646" customWidth="1"/>
    <col min="3104" max="3104" width="186.33203125" style="646" customWidth="1"/>
    <col min="3105" max="3105" width="50" style="646" customWidth="1"/>
    <col min="3106" max="3106" width="38.33203125" style="646" customWidth="1"/>
    <col min="3107" max="3107" width="49.83203125" style="646" customWidth="1"/>
    <col min="3108" max="3108" width="50" style="646" customWidth="1"/>
    <col min="3109" max="3109" width="45" style="646" customWidth="1"/>
    <col min="3110" max="3110" width="50.33203125" style="646" customWidth="1"/>
    <col min="3111" max="3111" width="50" style="646" customWidth="1"/>
    <col min="3112" max="3112" width="45" style="646" customWidth="1"/>
    <col min="3113" max="3113" width="50" style="646" customWidth="1"/>
    <col min="3114" max="3114" width="51" style="646" customWidth="1"/>
    <col min="3115" max="3327" width="9.33203125" style="646"/>
    <col min="3328" max="3328" width="186.33203125" style="646" customWidth="1"/>
    <col min="3329" max="3329" width="49.83203125" style="646" customWidth="1"/>
    <col min="3330" max="3330" width="38.33203125" style="646" customWidth="1"/>
    <col min="3331" max="3332" width="50" style="646" customWidth="1"/>
    <col min="3333" max="3333" width="37.6640625" style="646" customWidth="1"/>
    <col min="3334" max="3335" width="50" style="646" customWidth="1"/>
    <col min="3336" max="3336" width="38.1640625" style="646" customWidth="1"/>
    <col min="3337" max="3338" width="50" style="646" customWidth="1"/>
    <col min="3339" max="3339" width="38.33203125" style="646" customWidth="1"/>
    <col min="3340" max="3341" width="50" style="646" customWidth="1"/>
    <col min="3342" max="3342" width="38.33203125" style="646" customWidth="1"/>
    <col min="3343" max="3343" width="50" style="646" customWidth="1"/>
    <col min="3344" max="3344" width="186.33203125" style="646" customWidth="1"/>
    <col min="3345" max="3345" width="50" style="646" customWidth="1"/>
    <col min="3346" max="3346" width="38.33203125" style="646" customWidth="1"/>
    <col min="3347" max="3348" width="49.83203125" style="646" customWidth="1"/>
    <col min="3349" max="3349" width="38.1640625" style="646" customWidth="1"/>
    <col min="3350" max="3350" width="49.83203125" style="646" customWidth="1"/>
    <col min="3351" max="3351" width="50" style="646" customWidth="1"/>
    <col min="3352" max="3352" width="38.33203125" style="646" customWidth="1"/>
    <col min="3353" max="3354" width="49.83203125" style="646" customWidth="1"/>
    <col min="3355" max="3355" width="38.1640625" style="646" customWidth="1"/>
    <col min="3356" max="3357" width="50" style="646" customWidth="1"/>
    <col min="3358" max="3358" width="38.33203125" style="646" customWidth="1"/>
    <col min="3359" max="3359" width="50" style="646" customWidth="1"/>
    <col min="3360" max="3360" width="186.33203125" style="646" customWidth="1"/>
    <col min="3361" max="3361" width="50" style="646" customWidth="1"/>
    <col min="3362" max="3362" width="38.33203125" style="646" customWidth="1"/>
    <col min="3363" max="3363" width="49.83203125" style="646" customWidth="1"/>
    <col min="3364" max="3364" width="50" style="646" customWidth="1"/>
    <col min="3365" max="3365" width="45" style="646" customWidth="1"/>
    <col min="3366" max="3366" width="50.33203125" style="646" customWidth="1"/>
    <col min="3367" max="3367" width="50" style="646" customWidth="1"/>
    <col min="3368" max="3368" width="45" style="646" customWidth="1"/>
    <col min="3369" max="3369" width="50" style="646" customWidth="1"/>
    <col min="3370" max="3370" width="51" style="646" customWidth="1"/>
    <col min="3371" max="3583" width="9.33203125" style="646"/>
    <col min="3584" max="3584" width="186.33203125" style="646" customWidth="1"/>
    <col min="3585" max="3585" width="49.83203125" style="646" customWidth="1"/>
    <col min="3586" max="3586" width="38.33203125" style="646" customWidth="1"/>
    <col min="3587" max="3588" width="50" style="646" customWidth="1"/>
    <col min="3589" max="3589" width="37.6640625" style="646" customWidth="1"/>
    <col min="3590" max="3591" width="50" style="646" customWidth="1"/>
    <col min="3592" max="3592" width="38.1640625" style="646" customWidth="1"/>
    <col min="3593" max="3594" width="50" style="646" customWidth="1"/>
    <col min="3595" max="3595" width="38.33203125" style="646" customWidth="1"/>
    <col min="3596" max="3597" width="50" style="646" customWidth="1"/>
    <col min="3598" max="3598" width="38.33203125" style="646" customWidth="1"/>
    <col min="3599" max="3599" width="50" style="646" customWidth="1"/>
    <col min="3600" max="3600" width="186.33203125" style="646" customWidth="1"/>
    <col min="3601" max="3601" width="50" style="646" customWidth="1"/>
    <col min="3602" max="3602" width="38.33203125" style="646" customWidth="1"/>
    <col min="3603" max="3604" width="49.83203125" style="646" customWidth="1"/>
    <col min="3605" max="3605" width="38.1640625" style="646" customWidth="1"/>
    <col min="3606" max="3606" width="49.83203125" style="646" customWidth="1"/>
    <col min="3607" max="3607" width="50" style="646" customWidth="1"/>
    <col min="3608" max="3608" width="38.33203125" style="646" customWidth="1"/>
    <col min="3609" max="3610" width="49.83203125" style="646" customWidth="1"/>
    <col min="3611" max="3611" width="38.1640625" style="646" customWidth="1"/>
    <col min="3612" max="3613" width="50" style="646" customWidth="1"/>
    <col min="3614" max="3614" width="38.33203125" style="646" customWidth="1"/>
    <col min="3615" max="3615" width="50" style="646" customWidth="1"/>
    <col min="3616" max="3616" width="186.33203125" style="646" customWidth="1"/>
    <col min="3617" max="3617" width="50" style="646" customWidth="1"/>
    <col min="3618" max="3618" width="38.33203125" style="646" customWidth="1"/>
    <col min="3619" max="3619" width="49.83203125" style="646" customWidth="1"/>
    <col min="3620" max="3620" width="50" style="646" customWidth="1"/>
    <col min="3621" max="3621" width="45" style="646" customWidth="1"/>
    <col min="3622" max="3622" width="50.33203125" style="646" customWidth="1"/>
    <col min="3623" max="3623" width="50" style="646" customWidth="1"/>
    <col min="3624" max="3624" width="45" style="646" customWidth="1"/>
    <col min="3625" max="3625" width="50" style="646" customWidth="1"/>
    <col min="3626" max="3626" width="51" style="646" customWidth="1"/>
    <col min="3627" max="3839" width="9.33203125" style="646"/>
    <col min="3840" max="3840" width="186.33203125" style="646" customWidth="1"/>
    <col min="3841" max="3841" width="49.83203125" style="646" customWidth="1"/>
    <col min="3842" max="3842" width="38.33203125" style="646" customWidth="1"/>
    <col min="3843" max="3844" width="50" style="646" customWidth="1"/>
    <col min="3845" max="3845" width="37.6640625" style="646" customWidth="1"/>
    <col min="3846" max="3847" width="50" style="646" customWidth="1"/>
    <col min="3848" max="3848" width="38.1640625" style="646" customWidth="1"/>
    <col min="3849" max="3850" width="50" style="646" customWidth="1"/>
    <col min="3851" max="3851" width="38.33203125" style="646" customWidth="1"/>
    <col min="3852" max="3853" width="50" style="646" customWidth="1"/>
    <col min="3854" max="3854" width="38.33203125" style="646" customWidth="1"/>
    <col min="3855" max="3855" width="50" style="646" customWidth="1"/>
    <col min="3856" max="3856" width="186.33203125" style="646" customWidth="1"/>
    <col min="3857" max="3857" width="50" style="646" customWidth="1"/>
    <col min="3858" max="3858" width="38.33203125" style="646" customWidth="1"/>
    <col min="3859" max="3860" width="49.83203125" style="646" customWidth="1"/>
    <col min="3861" max="3861" width="38.1640625" style="646" customWidth="1"/>
    <col min="3862" max="3862" width="49.83203125" style="646" customWidth="1"/>
    <col min="3863" max="3863" width="50" style="646" customWidth="1"/>
    <col min="3864" max="3864" width="38.33203125" style="646" customWidth="1"/>
    <col min="3865" max="3866" width="49.83203125" style="646" customWidth="1"/>
    <col min="3867" max="3867" width="38.1640625" style="646" customWidth="1"/>
    <col min="3868" max="3869" width="50" style="646" customWidth="1"/>
    <col min="3870" max="3870" width="38.33203125" style="646" customWidth="1"/>
    <col min="3871" max="3871" width="50" style="646" customWidth="1"/>
    <col min="3872" max="3872" width="186.33203125" style="646" customWidth="1"/>
    <col min="3873" max="3873" width="50" style="646" customWidth="1"/>
    <col min="3874" max="3874" width="38.33203125" style="646" customWidth="1"/>
    <col min="3875" max="3875" width="49.83203125" style="646" customWidth="1"/>
    <col min="3876" max="3876" width="50" style="646" customWidth="1"/>
    <col min="3877" max="3877" width="45" style="646" customWidth="1"/>
    <col min="3878" max="3878" width="50.33203125" style="646" customWidth="1"/>
    <col min="3879" max="3879" width="50" style="646" customWidth="1"/>
    <col min="3880" max="3880" width="45" style="646" customWidth="1"/>
    <col min="3881" max="3881" width="50" style="646" customWidth="1"/>
    <col min="3882" max="3882" width="51" style="646" customWidth="1"/>
    <col min="3883" max="4095" width="9.33203125" style="646"/>
    <col min="4096" max="4096" width="186.33203125" style="646" customWidth="1"/>
    <col min="4097" max="4097" width="49.83203125" style="646" customWidth="1"/>
    <col min="4098" max="4098" width="38.33203125" style="646" customWidth="1"/>
    <col min="4099" max="4100" width="50" style="646" customWidth="1"/>
    <col min="4101" max="4101" width="37.6640625" style="646" customWidth="1"/>
    <col min="4102" max="4103" width="50" style="646" customWidth="1"/>
    <col min="4104" max="4104" width="38.1640625" style="646" customWidth="1"/>
    <col min="4105" max="4106" width="50" style="646" customWidth="1"/>
    <col min="4107" max="4107" width="38.33203125" style="646" customWidth="1"/>
    <col min="4108" max="4109" width="50" style="646" customWidth="1"/>
    <col min="4110" max="4110" width="38.33203125" style="646" customWidth="1"/>
    <col min="4111" max="4111" width="50" style="646" customWidth="1"/>
    <col min="4112" max="4112" width="186.33203125" style="646" customWidth="1"/>
    <col min="4113" max="4113" width="50" style="646" customWidth="1"/>
    <col min="4114" max="4114" width="38.33203125" style="646" customWidth="1"/>
    <col min="4115" max="4116" width="49.83203125" style="646" customWidth="1"/>
    <col min="4117" max="4117" width="38.1640625" style="646" customWidth="1"/>
    <col min="4118" max="4118" width="49.83203125" style="646" customWidth="1"/>
    <col min="4119" max="4119" width="50" style="646" customWidth="1"/>
    <col min="4120" max="4120" width="38.33203125" style="646" customWidth="1"/>
    <col min="4121" max="4122" width="49.83203125" style="646" customWidth="1"/>
    <col min="4123" max="4123" width="38.1640625" style="646" customWidth="1"/>
    <col min="4124" max="4125" width="50" style="646" customWidth="1"/>
    <col min="4126" max="4126" width="38.33203125" style="646" customWidth="1"/>
    <col min="4127" max="4127" width="50" style="646" customWidth="1"/>
    <col min="4128" max="4128" width="186.33203125" style="646" customWidth="1"/>
    <col min="4129" max="4129" width="50" style="646" customWidth="1"/>
    <col min="4130" max="4130" width="38.33203125" style="646" customWidth="1"/>
    <col min="4131" max="4131" width="49.83203125" style="646" customWidth="1"/>
    <col min="4132" max="4132" width="50" style="646" customWidth="1"/>
    <col min="4133" max="4133" width="45" style="646" customWidth="1"/>
    <col min="4134" max="4134" width="50.33203125" style="646" customWidth="1"/>
    <col min="4135" max="4135" width="50" style="646" customWidth="1"/>
    <col min="4136" max="4136" width="45" style="646" customWidth="1"/>
    <col min="4137" max="4137" width="50" style="646" customWidth="1"/>
    <col min="4138" max="4138" width="51" style="646" customWidth="1"/>
    <col min="4139" max="4351" width="9.33203125" style="646"/>
    <col min="4352" max="4352" width="186.33203125" style="646" customWidth="1"/>
    <col min="4353" max="4353" width="49.83203125" style="646" customWidth="1"/>
    <col min="4354" max="4354" width="38.33203125" style="646" customWidth="1"/>
    <col min="4355" max="4356" width="50" style="646" customWidth="1"/>
    <col min="4357" max="4357" width="37.6640625" style="646" customWidth="1"/>
    <col min="4358" max="4359" width="50" style="646" customWidth="1"/>
    <col min="4360" max="4360" width="38.1640625" style="646" customWidth="1"/>
    <col min="4361" max="4362" width="50" style="646" customWidth="1"/>
    <col min="4363" max="4363" width="38.33203125" style="646" customWidth="1"/>
    <col min="4364" max="4365" width="50" style="646" customWidth="1"/>
    <col min="4366" max="4366" width="38.33203125" style="646" customWidth="1"/>
    <col min="4367" max="4367" width="50" style="646" customWidth="1"/>
    <col min="4368" max="4368" width="186.33203125" style="646" customWidth="1"/>
    <col min="4369" max="4369" width="50" style="646" customWidth="1"/>
    <col min="4370" max="4370" width="38.33203125" style="646" customWidth="1"/>
    <col min="4371" max="4372" width="49.83203125" style="646" customWidth="1"/>
    <col min="4373" max="4373" width="38.1640625" style="646" customWidth="1"/>
    <col min="4374" max="4374" width="49.83203125" style="646" customWidth="1"/>
    <col min="4375" max="4375" width="50" style="646" customWidth="1"/>
    <col min="4376" max="4376" width="38.33203125" style="646" customWidth="1"/>
    <col min="4377" max="4378" width="49.83203125" style="646" customWidth="1"/>
    <col min="4379" max="4379" width="38.1640625" style="646" customWidth="1"/>
    <col min="4380" max="4381" width="50" style="646" customWidth="1"/>
    <col min="4382" max="4382" width="38.33203125" style="646" customWidth="1"/>
    <col min="4383" max="4383" width="50" style="646" customWidth="1"/>
    <col min="4384" max="4384" width="186.33203125" style="646" customWidth="1"/>
    <col min="4385" max="4385" width="50" style="646" customWidth="1"/>
    <col min="4386" max="4386" width="38.33203125" style="646" customWidth="1"/>
    <col min="4387" max="4387" width="49.83203125" style="646" customWidth="1"/>
    <col min="4388" max="4388" width="50" style="646" customWidth="1"/>
    <col min="4389" max="4389" width="45" style="646" customWidth="1"/>
    <col min="4390" max="4390" width="50.33203125" style="646" customWidth="1"/>
    <col min="4391" max="4391" width="50" style="646" customWidth="1"/>
    <col min="4392" max="4392" width="45" style="646" customWidth="1"/>
    <col min="4393" max="4393" width="50" style="646" customWidth="1"/>
    <col min="4394" max="4394" width="51" style="646" customWidth="1"/>
    <col min="4395" max="4607" width="9.33203125" style="646"/>
    <col min="4608" max="4608" width="186.33203125" style="646" customWidth="1"/>
    <col min="4609" max="4609" width="49.83203125" style="646" customWidth="1"/>
    <col min="4610" max="4610" width="38.33203125" style="646" customWidth="1"/>
    <col min="4611" max="4612" width="50" style="646" customWidth="1"/>
    <col min="4613" max="4613" width="37.6640625" style="646" customWidth="1"/>
    <col min="4614" max="4615" width="50" style="646" customWidth="1"/>
    <col min="4616" max="4616" width="38.1640625" style="646" customWidth="1"/>
    <col min="4617" max="4618" width="50" style="646" customWidth="1"/>
    <col min="4619" max="4619" width="38.33203125" style="646" customWidth="1"/>
    <col min="4620" max="4621" width="50" style="646" customWidth="1"/>
    <col min="4622" max="4622" width="38.33203125" style="646" customWidth="1"/>
    <col min="4623" max="4623" width="50" style="646" customWidth="1"/>
    <col min="4624" max="4624" width="186.33203125" style="646" customWidth="1"/>
    <col min="4625" max="4625" width="50" style="646" customWidth="1"/>
    <col min="4626" max="4626" width="38.33203125" style="646" customWidth="1"/>
    <col min="4627" max="4628" width="49.83203125" style="646" customWidth="1"/>
    <col min="4629" max="4629" width="38.1640625" style="646" customWidth="1"/>
    <col min="4630" max="4630" width="49.83203125" style="646" customWidth="1"/>
    <col min="4631" max="4631" width="50" style="646" customWidth="1"/>
    <col min="4632" max="4632" width="38.33203125" style="646" customWidth="1"/>
    <col min="4633" max="4634" width="49.83203125" style="646" customWidth="1"/>
    <col min="4635" max="4635" width="38.1640625" style="646" customWidth="1"/>
    <col min="4636" max="4637" width="50" style="646" customWidth="1"/>
    <col min="4638" max="4638" width="38.33203125" style="646" customWidth="1"/>
    <col min="4639" max="4639" width="50" style="646" customWidth="1"/>
    <col min="4640" max="4640" width="186.33203125" style="646" customWidth="1"/>
    <col min="4641" max="4641" width="50" style="646" customWidth="1"/>
    <col min="4642" max="4642" width="38.33203125" style="646" customWidth="1"/>
    <col min="4643" max="4643" width="49.83203125" style="646" customWidth="1"/>
    <col min="4644" max="4644" width="50" style="646" customWidth="1"/>
    <col min="4645" max="4645" width="45" style="646" customWidth="1"/>
    <col min="4646" max="4646" width="50.33203125" style="646" customWidth="1"/>
    <col min="4647" max="4647" width="50" style="646" customWidth="1"/>
    <col min="4648" max="4648" width="45" style="646" customWidth="1"/>
    <col min="4649" max="4649" width="50" style="646" customWidth="1"/>
    <col min="4650" max="4650" width="51" style="646" customWidth="1"/>
    <col min="4651" max="4863" width="9.33203125" style="646"/>
    <col min="4864" max="4864" width="186.33203125" style="646" customWidth="1"/>
    <col min="4865" max="4865" width="49.83203125" style="646" customWidth="1"/>
    <col min="4866" max="4866" width="38.33203125" style="646" customWidth="1"/>
    <col min="4867" max="4868" width="50" style="646" customWidth="1"/>
    <col min="4869" max="4869" width="37.6640625" style="646" customWidth="1"/>
    <col min="4870" max="4871" width="50" style="646" customWidth="1"/>
    <col min="4872" max="4872" width="38.1640625" style="646" customWidth="1"/>
    <col min="4873" max="4874" width="50" style="646" customWidth="1"/>
    <col min="4875" max="4875" width="38.33203125" style="646" customWidth="1"/>
    <col min="4876" max="4877" width="50" style="646" customWidth="1"/>
    <col min="4878" max="4878" width="38.33203125" style="646" customWidth="1"/>
    <col min="4879" max="4879" width="50" style="646" customWidth="1"/>
    <col min="4880" max="4880" width="186.33203125" style="646" customWidth="1"/>
    <col min="4881" max="4881" width="50" style="646" customWidth="1"/>
    <col min="4882" max="4882" width="38.33203125" style="646" customWidth="1"/>
    <col min="4883" max="4884" width="49.83203125" style="646" customWidth="1"/>
    <col min="4885" max="4885" width="38.1640625" style="646" customWidth="1"/>
    <col min="4886" max="4886" width="49.83203125" style="646" customWidth="1"/>
    <col min="4887" max="4887" width="50" style="646" customWidth="1"/>
    <col min="4888" max="4888" width="38.33203125" style="646" customWidth="1"/>
    <col min="4889" max="4890" width="49.83203125" style="646" customWidth="1"/>
    <col min="4891" max="4891" width="38.1640625" style="646" customWidth="1"/>
    <col min="4892" max="4893" width="50" style="646" customWidth="1"/>
    <col min="4894" max="4894" width="38.33203125" style="646" customWidth="1"/>
    <col min="4895" max="4895" width="50" style="646" customWidth="1"/>
    <col min="4896" max="4896" width="186.33203125" style="646" customWidth="1"/>
    <col min="4897" max="4897" width="50" style="646" customWidth="1"/>
    <col min="4898" max="4898" width="38.33203125" style="646" customWidth="1"/>
    <col min="4899" max="4899" width="49.83203125" style="646" customWidth="1"/>
    <col min="4900" max="4900" width="50" style="646" customWidth="1"/>
    <col min="4901" max="4901" width="45" style="646" customWidth="1"/>
    <col min="4902" max="4902" width="50.33203125" style="646" customWidth="1"/>
    <col min="4903" max="4903" width="50" style="646" customWidth="1"/>
    <col min="4904" max="4904" width="45" style="646" customWidth="1"/>
    <col min="4905" max="4905" width="50" style="646" customWidth="1"/>
    <col min="4906" max="4906" width="51" style="646" customWidth="1"/>
    <col min="4907" max="5119" width="9.33203125" style="646"/>
    <col min="5120" max="5120" width="186.33203125" style="646" customWidth="1"/>
    <col min="5121" max="5121" width="49.83203125" style="646" customWidth="1"/>
    <col min="5122" max="5122" width="38.33203125" style="646" customWidth="1"/>
    <col min="5123" max="5124" width="50" style="646" customWidth="1"/>
    <col min="5125" max="5125" width="37.6640625" style="646" customWidth="1"/>
    <col min="5126" max="5127" width="50" style="646" customWidth="1"/>
    <col min="5128" max="5128" width="38.1640625" style="646" customWidth="1"/>
    <col min="5129" max="5130" width="50" style="646" customWidth="1"/>
    <col min="5131" max="5131" width="38.33203125" style="646" customWidth="1"/>
    <col min="5132" max="5133" width="50" style="646" customWidth="1"/>
    <col min="5134" max="5134" width="38.33203125" style="646" customWidth="1"/>
    <col min="5135" max="5135" width="50" style="646" customWidth="1"/>
    <col min="5136" max="5136" width="186.33203125" style="646" customWidth="1"/>
    <col min="5137" max="5137" width="50" style="646" customWidth="1"/>
    <col min="5138" max="5138" width="38.33203125" style="646" customWidth="1"/>
    <col min="5139" max="5140" width="49.83203125" style="646" customWidth="1"/>
    <col min="5141" max="5141" width="38.1640625" style="646" customWidth="1"/>
    <col min="5142" max="5142" width="49.83203125" style="646" customWidth="1"/>
    <col min="5143" max="5143" width="50" style="646" customWidth="1"/>
    <col min="5144" max="5144" width="38.33203125" style="646" customWidth="1"/>
    <col min="5145" max="5146" width="49.83203125" style="646" customWidth="1"/>
    <col min="5147" max="5147" width="38.1640625" style="646" customWidth="1"/>
    <col min="5148" max="5149" width="50" style="646" customWidth="1"/>
    <col min="5150" max="5150" width="38.33203125" style="646" customWidth="1"/>
    <col min="5151" max="5151" width="50" style="646" customWidth="1"/>
    <col min="5152" max="5152" width="186.33203125" style="646" customWidth="1"/>
    <col min="5153" max="5153" width="50" style="646" customWidth="1"/>
    <col min="5154" max="5154" width="38.33203125" style="646" customWidth="1"/>
    <col min="5155" max="5155" width="49.83203125" style="646" customWidth="1"/>
    <col min="5156" max="5156" width="50" style="646" customWidth="1"/>
    <col min="5157" max="5157" width="45" style="646" customWidth="1"/>
    <col min="5158" max="5158" width="50.33203125" style="646" customWidth="1"/>
    <col min="5159" max="5159" width="50" style="646" customWidth="1"/>
    <col min="5160" max="5160" width="45" style="646" customWidth="1"/>
    <col min="5161" max="5161" width="50" style="646" customWidth="1"/>
    <col min="5162" max="5162" width="51" style="646" customWidth="1"/>
    <col min="5163" max="5375" width="9.33203125" style="646"/>
    <col min="5376" max="5376" width="186.33203125" style="646" customWidth="1"/>
    <col min="5377" max="5377" width="49.83203125" style="646" customWidth="1"/>
    <col min="5378" max="5378" width="38.33203125" style="646" customWidth="1"/>
    <col min="5379" max="5380" width="50" style="646" customWidth="1"/>
    <col min="5381" max="5381" width="37.6640625" style="646" customWidth="1"/>
    <col min="5382" max="5383" width="50" style="646" customWidth="1"/>
    <col min="5384" max="5384" width="38.1640625" style="646" customWidth="1"/>
    <col min="5385" max="5386" width="50" style="646" customWidth="1"/>
    <col min="5387" max="5387" width="38.33203125" style="646" customWidth="1"/>
    <col min="5388" max="5389" width="50" style="646" customWidth="1"/>
    <col min="5390" max="5390" width="38.33203125" style="646" customWidth="1"/>
    <col min="5391" max="5391" width="50" style="646" customWidth="1"/>
    <col min="5392" max="5392" width="186.33203125" style="646" customWidth="1"/>
    <col min="5393" max="5393" width="50" style="646" customWidth="1"/>
    <col min="5394" max="5394" width="38.33203125" style="646" customWidth="1"/>
    <col min="5395" max="5396" width="49.83203125" style="646" customWidth="1"/>
    <col min="5397" max="5397" width="38.1640625" style="646" customWidth="1"/>
    <col min="5398" max="5398" width="49.83203125" style="646" customWidth="1"/>
    <col min="5399" max="5399" width="50" style="646" customWidth="1"/>
    <col min="5400" max="5400" width="38.33203125" style="646" customWidth="1"/>
    <col min="5401" max="5402" width="49.83203125" style="646" customWidth="1"/>
    <col min="5403" max="5403" width="38.1640625" style="646" customWidth="1"/>
    <col min="5404" max="5405" width="50" style="646" customWidth="1"/>
    <col min="5406" max="5406" width="38.33203125" style="646" customWidth="1"/>
    <col min="5407" max="5407" width="50" style="646" customWidth="1"/>
    <col min="5408" max="5408" width="186.33203125" style="646" customWidth="1"/>
    <col min="5409" max="5409" width="50" style="646" customWidth="1"/>
    <col min="5410" max="5410" width="38.33203125" style="646" customWidth="1"/>
    <col min="5411" max="5411" width="49.83203125" style="646" customWidth="1"/>
    <col min="5412" max="5412" width="50" style="646" customWidth="1"/>
    <col min="5413" max="5413" width="45" style="646" customWidth="1"/>
    <col min="5414" max="5414" width="50.33203125" style="646" customWidth="1"/>
    <col min="5415" max="5415" width="50" style="646" customWidth="1"/>
    <col min="5416" max="5416" width="45" style="646" customWidth="1"/>
    <col min="5417" max="5417" width="50" style="646" customWidth="1"/>
    <col min="5418" max="5418" width="51" style="646" customWidth="1"/>
    <col min="5419" max="5631" width="9.33203125" style="646"/>
    <col min="5632" max="5632" width="186.33203125" style="646" customWidth="1"/>
    <col min="5633" max="5633" width="49.83203125" style="646" customWidth="1"/>
    <col min="5634" max="5634" width="38.33203125" style="646" customWidth="1"/>
    <col min="5635" max="5636" width="50" style="646" customWidth="1"/>
    <col min="5637" max="5637" width="37.6640625" style="646" customWidth="1"/>
    <col min="5638" max="5639" width="50" style="646" customWidth="1"/>
    <col min="5640" max="5640" width="38.1640625" style="646" customWidth="1"/>
    <col min="5641" max="5642" width="50" style="646" customWidth="1"/>
    <col min="5643" max="5643" width="38.33203125" style="646" customWidth="1"/>
    <col min="5644" max="5645" width="50" style="646" customWidth="1"/>
    <col min="5646" max="5646" width="38.33203125" style="646" customWidth="1"/>
    <col min="5647" max="5647" width="50" style="646" customWidth="1"/>
    <col min="5648" max="5648" width="186.33203125" style="646" customWidth="1"/>
    <col min="5649" max="5649" width="50" style="646" customWidth="1"/>
    <col min="5650" max="5650" width="38.33203125" style="646" customWidth="1"/>
    <col min="5651" max="5652" width="49.83203125" style="646" customWidth="1"/>
    <col min="5653" max="5653" width="38.1640625" style="646" customWidth="1"/>
    <col min="5654" max="5654" width="49.83203125" style="646" customWidth="1"/>
    <col min="5655" max="5655" width="50" style="646" customWidth="1"/>
    <col min="5656" max="5656" width="38.33203125" style="646" customWidth="1"/>
    <col min="5657" max="5658" width="49.83203125" style="646" customWidth="1"/>
    <col min="5659" max="5659" width="38.1640625" style="646" customWidth="1"/>
    <col min="5660" max="5661" width="50" style="646" customWidth="1"/>
    <col min="5662" max="5662" width="38.33203125" style="646" customWidth="1"/>
    <col min="5663" max="5663" width="50" style="646" customWidth="1"/>
    <col min="5664" max="5664" width="186.33203125" style="646" customWidth="1"/>
    <col min="5665" max="5665" width="50" style="646" customWidth="1"/>
    <col min="5666" max="5666" width="38.33203125" style="646" customWidth="1"/>
    <col min="5667" max="5667" width="49.83203125" style="646" customWidth="1"/>
    <col min="5668" max="5668" width="50" style="646" customWidth="1"/>
    <col min="5669" max="5669" width="45" style="646" customWidth="1"/>
    <col min="5670" max="5670" width="50.33203125" style="646" customWidth="1"/>
    <col min="5671" max="5671" width="50" style="646" customWidth="1"/>
    <col min="5672" max="5672" width="45" style="646" customWidth="1"/>
    <col min="5673" max="5673" width="50" style="646" customWidth="1"/>
    <col min="5674" max="5674" width="51" style="646" customWidth="1"/>
    <col min="5675" max="5887" width="9.33203125" style="646"/>
    <col min="5888" max="5888" width="186.33203125" style="646" customWidth="1"/>
    <col min="5889" max="5889" width="49.83203125" style="646" customWidth="1"/>
    <col min="5890" max="5890" width="38.33203125" style="646" customWidth="1"/>
    <col min="5891" max="5892" width="50" style="646" customWidth="1"/>
    <col min="5893" max="5893" width="37.6640625" style="646" customWidth="1"/>
    <col min="5894" max="5895" width="50" style="646" customWidth="1"/>
    <col min="5896" max="5896" width="38.1640625" style="646" customWidth="1"/>
    <col min="5897" max="5898" width="50" style="646" customWidth="1"/>
    <col min="5899" max="5899" width="38.33203125" style="646" customWidth="1"/>
    <col min="5900" max="5901" width="50" style="646" customWidth="1"/>
    <col min="5902" max="5902" width="38.33203125" style="646" customWidth="1"/>
    <col min="5903" max="5903" width="50" style="646" customWidth="1"/>
    <col min="5904" max="5904" width="186.33203125" style="646" customWidth="1"/>
    <col min="5905" max="5905" width="50" style="646" customWidth="1"/>
    <col min="5906" max="5906" width="38.33203125" style="646" customWidth="1"/>
    <col min="5907" max="5908" width="49.83203125" style="646" customWidth="1"/>
    <col min="5909" max="5909" width="38.1640625" style="646" customWidth="1"/>
    <col min="5910" max="5910" width="49.83203125" style="646" customWidth="1"/>
    <col min="5911" max="5911" width="50" style="646" customWidth="1"/>
    <col min="5912" max="5912" width="38.33203125" style="646" customWidth="1"/>
    <col min="5913" max="5914" width="49.83203125" style="646" customWidth="1"/>
    <col min="5915" max="5915" width="38.1640625" style="646" customWidth="1"/>
    <col min="5916" max="5917" width="50" style="646" customWidth="1"/>
    <col min="5918" max="5918" width="38.33203125" style="646" customWidth="1"/>
    <col min="5919" max="5919" width="50" style="646" customWidth="1"/>
    <col min="5920" max="5920" width="186.33203125" style="646" customWidth="1"/>
    <col min="5921" max="5921" width="50" style="646" customWidth="1"/>
    <col min="5922" max="5922" width="38.33203125" style="646" customWidth="1"/>
    <col min="5923" max="5923" width="49.83203125" style="646" customWidth="1"/>
    <col min="5924" max="5924" width="50" style="646" customWidth="1"/>
    <col min="5925" max="5925" width="45" style="646" customWidth="1"/>
    <col min="5926" max="5926" width="50.33203125" style="646" customWidth="1"/>
    <col min="5927" max="5927" width="50" style="646" customWidth="1"/>
    <col min="5928" max="5928" width="45" style="646" customWidth="1"/>
    <col min="5929" max="5929" width="50" style="646" customWidth="1"/>
    <col min="5930" max="5930" width="51" style="646" customWidth="1"/>
    <col min="5931" max="6143" width="9.33203125" style="646"/>
    <col min="6144" max="6144" width="186.33203125" style="646" customWidth="1"/>
    <col min="6145" max="6145" width="49.83203125" style="646" customWidth="1"/>
    <col min="6146" max="6146" width="38.33203125" style="646" customWidth="1"/>
    <col min="6147" max="6148" width="50" style="646" customWidth="1"/>
    <col min="6149" max="6149" width="37.6640625" style="646" customWidth="1"/>
    <col min="6150" max="6151" width="50" style="646" customWidth="1"/>
    <col min="6152" max="6152" width="38.1640625" style="646" customWidth="1"/>
    <col min="6153" max="6154" width="50" style="646" customWidth="1"/>
    <col min="6155" max="6155" width="38.33203125" style="646" customWidth="1"/>
    <col min="6156" max="6157" width="50" style="646" customWidth="1"/>
    <col min="6158" max="6158" width="38.33203125" style="646" customWidth="1"/>
    <col min="6159" max="6159" width="50" style="646" customWidth="1"/>
    <col min="6160" max="6160" width="186.33203125" style="646" customWidth="1"/>
    <col min="6161" max="6161" width="50" style="646" customWidth="1"/>
    <col min="6162" max="6162" width="38.33203125" style="646" customWidth="1"/>
    <col min="6163" max="6164" width="49.83203125" style="646" customWidth="1"/>
    <col min="6165" max="6165" width="38.1640625" style="646" customWidth="1"/>
    <col min="6166" max="6166" width="49.83203125" style="646" customWidth="1"/>
    <col min="6167" max="6167" width="50" style="646" customWidth="1"/>
    <col min="6168" max="6168" width="38.33203125" style="646" customWidth="1"/>
    <col min="6169" max="6170" width="49.83203125" style="646" customWidth="1"/>
    <col min="6171" max="6171" width="38.1640625" style="646" customWidth="1"/>
    <col min="6172" max="6173" width="50" style="646" customWidth="1"/>
    <col min="6174" max="6174" width="38.33203125" style="646" customWidth="1"/>
    <col min="6175" max="6175" width="50" style="646" customWidth="1"/>
    <col min="6176" max="6176" width="186.33203125" style="646" customWidth="1"/>
    <col min="6177" max="6177" width="50" style="646" customWidth="1"/>
    <col min="6178" max="6178" width="38.33203125" style="646" customWidth="1"/>
    <col min="6179" max="6179" width="49.83203125" style="646" customWidth="1"/>
    <col min="6180" max="6180" width="50" style="646" customWidth="1"/>
    <col min="6181" max="6181" width="45" style="646" customWidth="1"/>
    <col min="6182" max="6182" width="50.33203125" style="646" customWidth="1"/>
    <col min="6183" max="6183" width="50" style="646" customWidth="1"/>
    <col min="6184" max="6184" width="45" style="646" customWidth="1"/>
    <col min="6185" max="6185" width="50" style="646" customWidth="1"/>
    <col min="6186" max="6186" width="51" style="646" customWidth="1"/>
    <col min="6187" max="6399" width="9.33203125" style="646"/>
    <col min="6400" max="6400" width="186.33203125" style="646" customWidth="1"/>
    <col min="6401" max="6401" width="49.83203125" style="646" customWidth="1"/>
    <col min="6402" max="6402" width="38.33203125" style="646" customWidth="1"/>
    <col min="6403" max="6404" width="50" style="646" customWidth="1"/>
    <col min="6405" max="6405" width="37.6640625" style="646" customWidth="1"/>
    <col min="6406" max="6407" width="50" style="646" customWidth="1"/>
    <col min="6408" max="6408" width="38.1640625" style="646" customWidth="1"/>
    <col min="6409" max="6410" width="50" style="646" customWidth="1"/>
    <col min="6411" max="6411" width="38.33203125" style="646" customWidth="1"/>
    <col min="6412" max="6413" width="50" style="646" customWidth="1"/>
    <col min="6414" max="6414" width="38.33203125" style="646" customWidth="1"/>
    <col min="6415" max="6415" width="50" style="646" customWidth="1"/>
    <col min="6416" max="6416" width="186.33203125" style="646" customWidth="1"/>
    <col min="6417" max="6417" width="50" style="646" customWidth="1"/>
    <col min="6418" max="6418" width="38.33203125" style="646" customWidth="1"/>
    <col min="6419" max="6420" width="49.83203125" style="646" customWidth="1"/>
    <col min="6421" max="6421" width="38.1640625" style="646" customWidth="1"/>
    <col min="6422" max="6422" width="49.83203125" style="646" customWidth="1"/>
    <col min="6423" max="6423" width="50" style="646" customWidth="1"/>
    <col min="6424" max="6424" width="38.33203125" style="646" customWidth="1"/>
    <col min="6425" max="6426" width="49.83203125" style="646" customWidth="1"/>
    <col min="6427" max="6427" width="38.1640625" style="646" customWidth="1"/>
    <col min="6428" max="6429" width="50" style="646" customWidth="1"/>
    <col min="6430" max="6430" width="38.33203125" style="646" customWidth="1"/>
    <col min="6431" max="6431" width="50" style="646" customWidth="1"/>
    <col min="6432" max="6432" width="186.33203125" style="646" customWidth="1"/>
    <col min="6433" max="6433" width="50" style="646" customWidth="1"/>
    <col min="6434" max="6434" width="38.33203125" style="646" customWidth="1"/>
    <col min="6435" max="6435" width="49.83203125" style="646" customWidth="1"/>
    <col min="6436" max="6436" width="50" style="646" customWidth="1"/>
    <col min="6437" max="6437" width="45" style="646" customWidth="1"/>
    <col min="6438" max="6438" width="50.33203125" style="646" customWidth="1"/>
    <col min="6439" max="6439" width="50" style="646" customWidth="1"/>
    <col min="6440" max="6440" width="45" style="646" customWidth="1"/>
    <col min="6441" max="6441" width="50" style="646" customWidth="1"/>
    <col min="6442" max="6442" width="51" style="646" customWidth="1"/>
    <col min="6443" max="6655" width="9.33203125" style="646"/>
    <col min="6656" max="6656" width="186.33203125" style="646" customWidth="1"/>
    <col min="6657" max="6657" width="49.83203125" style="646" customWidth="1"/>
    <col min="6658" max="6658" width="38.33203125" style="646" customWidth="1"/>
    <col min="6659" max="6660" width="50" style="646" customWidth="1"/>
    <col min="6661" max="6661" width="37.6640625" style="646" customWidth="1"/>
    <col min="6662" max="6663" width="50" style="646" customWidth="1"/>
    <col min="6664" max="6664" width="38.1640625" style="646" customWidth="1"/>
    <col min="6665" max="6666" width="50" style="646" customWidth="1"/>
    <col min="6667" max="6667" width="38.33203125" style="646" customWidth="1"/>
    <col min="6668" max="6669" width="50" style="646" customWidth="1"/>
    <col min="6670" max="6670" width="38.33203125" style="646" customWidth="1"/>
    <col min="6671" max="6671" width="50" style="646" customWidth="1"/>
    <col min="6672" max="6672" width="186.33203125" style="646" customWidth="1"/>
    <col min="6673" max="6673" width="50" style="646" customWidth="1"/>
    <col min="6674" max="6674" width="38.33203125" style="646" customWidth="1"/>
    <col min="6675" max="6676" width="49.83203125" style="646" customWidth="1"/>
    <col min="6677" max="6677" width="38.1640625" style="646" customWidth="1"/>
    <col min="6678" max="6678" width="49.83203125" style="646" customWidth="1"/>
    <col min="6679" max="6679" width="50" style="646" customWidth="1"/>
    <col min="6680" max="6680" width="38.33203125" style="646" customWidth="1"/>
    <col min="6681" max="6682" width="49.83203125" style="646" customWidth="1"/>
    <col min="6683" max="6683" width="38.1640625" style="646" customWidth="1"/>
    <col min="6684" max="6685" width="50" style="646" customWidth="1"/>
    <col min="6686" max="6686" width="38.33203125" style="646" customWidth="1"/>
    <col min="6687" max="6687" width="50" style="646" customWidth="1"/>
    <col min="6688" max="6688" width="186.33203125" style="646" customWidth="1"/>
    <col min="6689" max="6689" width="50" style="646" customWidth="1"/>
    <col min="6690" max="6690" width="38.33203125" style="646" customWidth="1"/>
    <col min="6691" max="6691" width="49.83203125" style="646" customWidth="1"/>
    <col min="6692" max="6692" width="50" style="646" customWidth="1"/>
    <col min="6693" max="6693" width="45" style="646" customWidth="1"/>
    <col min="6694" max="6694" width="50.33203125" style="646" customWidth="1"/>
    <col min="6695" max="6695" width="50" style="646" customWidth="1"/>
    <col min="6696" max="6696" width="45" style="646" customWidth="1"/>
    <col min="6697" max="6697" width="50" style="646" customWidth="1"/>
    <col min="6698" max="6698" width="51" style="646" customWidth="1"/>
    <col min="6699" max="6911" width="9.33203125" style="646"/>
    <col min="6912" max="6912" width="186.33203125" style="646" customWidth="1"/>
    <col min="6913" max="6913" width="49.83203125" style="646" customWidth="1"/>
    <col min="6914" max="6914" width="38.33203125" style="646" customWidth="1"/>
    <col min="6915" max="6916" width="50" style="646" customWidth="1"/>
    <col min="6917" max="6917" width="37.6640625" style="646" customWidth="1"/>
    <col min="6918" max="6919" width="50" style="646" customWidth="1"/>
    <col min="6920" max="6920" width="38.1640625" style="646" customWidth="1"/>
    <col min="6921" max="6922" width="50" style="646" customWidth="1"/>
    <col min="6923" max="6923" width="38.33203125" style="646" customWidth="1"/>
    <col min="6924" max="6925" width="50" style="646" customWidth="1"/>
    <col min="6926" max="6926" width="38.33203125" style="646" customWidth="1"/>
    <col min="6927" max="6927" width="50" style="646" customWidth="1"/>
    <col min="6928" max="6928" width="186.33203125" style="646" customWidth="1"/>
    <col min="6929" max="6929" width="50" style="646" customWidth="1"/>
    <col min="6930" max="6930" width="38.33203125" style="646" customWidth="1"/>
    <col min="6931" max="6932" width="49.83203125" style="646" customWidth="1"/>
    <col min="6933" max="6933" width="38.1640625" style="646" customWidth="1"/>
    <col min="6934" max="6934" width="49.83203125" style="646" customWidth="1"/>
    <col min="6935" max="6935" width="50" style="646" customWidth="1"/>
    <col min="6936" max="6936" width="38.33203125" style="646" customWidth="1"/>
    <col min="6937" max="6938" width="49.83203125" style="646" customWidth="1"/>
    <col min="6939" max="6939" width="38.1640625" style="646" customWidth="1"/>
    <col min="6940" max="6941" width="50" style="646" customWidth="1"/>
    <col min="6942" max="6942" width="38.33203125" style="646" customWidth="1"/>
    <col min="6943" max="6943" width="50" style="646" customWidth="1"/>
    <col min="6944" max="6944" width="186.33203125" style="646" customWidth="1"/>
    <col min="6945" max="6945" width="50" style="646" customWidth="1"/>
    <col min="6946" max="6946" width="38.33203125" style="646" customWidth="1"/>
    <col min="6947" max="6947" width="49.83203125" style="646" customWidth="1"/>
    <col min="6948" max="6948" width="50" style="646" customWidth="1"/>
    <col min="6949" max="6949" width="45" style="646" customWidth="1"/>
    <col min="6950" max="6950" width="50.33203125" style="646" customWidth="1"/>
    <col min="6951" max="6951" width="50" style="646" customWidth="1"/>
    <col min="6952" max="6952" width="45" style="646" customWidth="1"/>
    <col min="6953" max="6953" width="50" style="646" customWidth="1"/>
    <col min="6954" max="6954" width="51" style="646" customWidth="1"/>
    <col min="6955" max="7167" width="9.33203125" style="646"/>
    <col min="7168" max="7168" width="186.33203125" style="646" customWidth="1"/>
    <col min="7169" max="7169" width="49.83203125" style="646" customWidth="1"/>
    <col min="7170" max="7170" width="38.33203125" style="646" customWidth="1"/>
    <col min="7171" max="7172" width="50" style="646" customWidth="1"/>
    <col min="7173" max="7173" width="37.6640625" style="646" customWidth="1"/>
    <col min="7174" max="7175" width="50" style="646" customWidth="1"/>
    <col min="7176" max="7176" width="38.1640625" style="646" customWidth="1"/>
    <col min="7177" max="7178" width="50" style="646" customWidth="1"/>
    <col min="7179" max="7179" width="38.33203125" style="646" customWidth="1"/>
    <col min="7180" max="7181" width="50" style="646" customWidth="1"/>
    <col min="7182" max="7182" width="38.33203125" style="646" customWidth="1"/>
    <col min="7183" max="7183" width="50" style="646" customWidth="1"/>
    <col min="7184" max="7184" width="186.33203125" style="646" customWidth="1"/>
    <col min="7185" max="7185" width="50" style="646" customWidth="1"/>
    <col min="7186" max="7186" width="38.33203125" style="646" customWidth="1"/>
    <col min="7187" max="7188" width="49.83203125" style="646" customWidth="1"/>
    <col min="7189" max="7189" width="38.1640625" style="646" customWidth="1"/>
    <col min="7190" max="7190" width="49.83203125" style="646" customWidth="1"/>
    <col min="7191" max="7191" width="50" style="646" customWidth="1"/>
    <col min="7192" max="7192" width="38.33203125" style="646" customWidth="1"/>
    <col min="7193" max="7194" width="49.83203125" style="646" customWidth="1"/>
    <col min="7195" max="7195" width="38.1640625" style="646" customWidth="1"/>
    <col min="7196" max="7197" width="50" style="646" customWidth="1"/>
    <col min="7198" max="7198" width="38.33203125" style="646" customWidth="1"/>
    <col min="7199" max="7199" width="50" style="646" customWidth="1"/>
    <col min="7200" max="7200" width="186.33203125" style="646" customWidth="1"/>
    <col min="7201" max="7201" width="50" style="646" customWidth="1"/>
    <col min="7202" max="7202" width="38.33203125" style="646" customWidth="1"/>
    <col min="7203" max="7203" width="49.83203125" style="646" customWidth="1"/>
    <col min="7204" max="7204" width="50" style="646" customWidth="1"/>
    <col min="7205" max="7205" width="45" style="646" customWidth="1"/>
    <col min="7206" max="7206" width="50.33203125" style="646" customWidth="1"/>
    <col min="7207" max="7207" width="50" style="646" customWidth="1"/>
    <col min="7208" max="7208" width="45" style="646" customWidth="1"/>
    <col min="7209" max="7209" width="50" style="646" customWidth="1"/>
    <col min="7210" max="7210" width="51" style="646" customWidth="1"/>
    <col min="7211" max="7423" width="9.33203125" style="646"/>
    <col min="7424" max="7424" width="186.33203125" style="646" customWidth="1"/>
    <col min="7425" max="7425" width="49.83203125" style="646" customWidth="1"/>
    <col min="7426" max="7426" width="38.33203125" style="646" customWidth="1"/>
    <col min="7427" max="7428" width="50" style="646" customWidth="1"/>
    <col min="7429" max="7429" width="37.6640625" style="646" customWidth="1"/>
    <col min="7430" max="7431" width="50" style="646" customWidth="1"/>
    <col min="7432" max="7432" width="38.1640625" style="646" customWidth="1"/>
    <col min="7433" max="7434" width="50" style="646" customWidth="1"/>
    <col min="7435" max="7435" width="38.33203125" style="646" customWidth="1"/>
    <col min="7436" max="7437" width="50" style="646" customWidth="1"/>
    <col min="7438" max="7438" width="38.33203125" style="646" customWidth="1"/>
    <col min="7439" max="7439" width="50" style="646" customWidth="1"/>
    <col min="7440" max="7440" width="186.33203125" style="646" customWidth="1"/>
    <col min="7441" max="7441" width="50" style="646" customWidth="1"/>
    <col min="7442" max="7442" width="38.33203125" style="646" customWidth="1"/>
    <col min="7443" max="7444" width="49.83203125" style="646" customWidth="1"/>
    <col min="7445" max="7445" width="38.1640625" style="646" customWidth="1"/>
    <col min="7446" max="7446" width="49.83203125" style="646" customWidth="1"/>
    <col min="7447" max="7447" width="50" style="646" customWidth="1"/>
    <col min="7448" max="7448" width="38.33203125" style="646" customWidth="1"/>
    <col min="7449" max="7450" width="49.83203125" style="646" customWidth="1"/>
    <col min="7451" max="7451" width="38.1640625" style="646" customWidth="1"/>
    <col min="7452" max="7453" width="50" style="646" customWidth="1"/>
    <col min="7454" max="7454" width="38.33203125" style="646" customWidth="1"/>
    <col min="7455" max="7455" width="50" style="646" customWidth="1"/>
    <col min="7456" max="7456" width="186.33203125" style="646" customWidth="1"/>
    <col min="7457" max="7457" width="50" style="646" customWidth="1"/>
    <col min="7458" max="7458" width="38.33203125" style="646" customWidth="1"/>
    <col min="7459" max="7459" width="49.83203125" style="646" customWidth="1"/>
    <col min="7460" max="7460" width="50" style="646" customWidth="1"/>
    <col min="7461" max="7461" width="45" style="646" customWidth="1"/>
    <col min="7462" max="7462" width="50.33203125" style="646" customWidth="1"/>
    <col min="7463" max="7463" width="50" style="646" customWidth="1"/>
    <col min="7464" max="7464" width="45" style="646" customWidth="1"/>
    <col min="7465" max="7465" width="50" style="646" customWidth="1"/>
    <col min="7466" max="7466" width="51" style="646" customWidth="1"/>
    <col min="7467" max="7679" width="9.33203125" style="646"/>
    <col min="7680" max="7680" width="186.33203125" style="646" customWidth="1"/>
    <col min="7681" max="7681" width="49.83203125" style="646" customWidth="1"/>
    <col min="7682" max="7682" width="38.33203125" style="646" customWidth="1"/>
    <col min="7683" max="7684" width="50" style="646" customWidth="1"/>
    <col min="7685" max="7685" width="37.6640625" style="646" customWidth="1"/>
    <col min="7686" max="7687" width="50" style="646" customWidth="1"/>
    <col min="7688" max="7688" width="38.1640625" style="646" customWidth="1"/>
    <col min="7689" max="7690" width="50" style="646" customWidth="1"/>
    <col min="7691" max="7691" width="38.33203125" style="646" customWidth="1"/>
    <col min="7692" max="7693" width="50" style="646" customWidth="1"/>
    <col min="7694" max="7694" width="38.33203125" style="646" customWidth="1"/>
    <col min="7695" max="7695" width="50" style="646" customWidth="1"/>
    <col min="7696" max="7696" width="186.33203125" style="646" customWidth="1"/>
    <col min="7697" max="7697" width="50" style="646" customWidth="1"/>
    <col min="7698" max="7698" width="38.33203125" style="646" customWidth="1"/>
    <col min="7699" max="7700" width="49.83203125" style="646" customWidth="1"/>
    <col min="7701" max="7701" width="38.1640625" style="646" customWidth="1"/>
    <col min="7702" max="7702" width="49.83203125" style="646" customWidth="1"/>
    <col min="7703" max="7703" width="50" style="646" customWidth="1"/>
    <col min="7704" max="7704" width="38.33203125" style="646" customWidth="1"/>
    <col min="7705" max="7706" width="49.83203125" style="646" customWidth="1"/>
    <col min="7707" max="7707" width="38.1640625" style="646" customWidth="1"/>
    <col min="7708" max="7709" width="50" style="646" customWidth="1"/>
    <col min="7710" max="7710" width="38.33203125" style="646" customWidth="1"/>
    <col min="7711" max="7711" width="50" style="646" customWidth="1"/>
    <col min="7712" max="7712" width="186.33203125" style="646" customWidth="1"/>
    <col min="7713" max="7713" width="50" style="646" customWidth="1"/>
    <col min="7714" max="7714" width="38.33203125" style="646" customWidth="1"/>
    <col min="7715" max="7715" width="49.83203125" style="646" customWidth="1"/>
    <col min="7716" max="7716" width="50" style="646" customWidth="1"/>
    <col min="7717" max="7717" width="45" style="646" customWidth="1"/>
    <col min="7718" max="7718" width="50.33203125" style="646" customWidth="1"/>
    <col min="7719" max="7719" width="50" style="646" customWidth="1"/>
    <col min="7720" max="7720" width="45" style="646" customWidth="1"/>
    <col min="7721" max="7721" width="50" style="646" customWidth="1"/>
    <col min="7722" max="7722" width="51" style="646" customWidth="1"/>
    <col min="7723" max="7935" width="9.33203125" style="646"/>
    <col min="7936" max="7936" width="186.33203125" style="646" customWidth="1"/>
    <col min="7937" max="7937" width="49.83203125" style="646" customWidth="1"/>
    <col min="7938" max="7938" width="38.33203125" style="646" customWidth="1"/>
    <col min="7939" max="7940" width="50" style="646" customWidth="1"/>
    <col min="7941" max="7941" width="37.6640625" style="646" customWidth="1"/>
    <col min="7942" max="7943" width="50" style="646" customWidth="1"/>
    <col min="7944" max="7944" width="38.1640625" style="646" customWidth="1"/>
    <col min="7945" max="7946" width="50" style="646" customWidth="1"/>
    <col min="7947" max="7947" width="38.33203125" style="646" customWidth="1"/>
    <col min="7948" max="7949" width="50" style="646" customWidth="1"/>
    <col min="7950" max="7950" width="38.33203125" style="646" customWidth="1"/>
    <col min="7951" max="7951" width="50" style="646" customWidth="1"/>
    <col min="7952" max="7952" width="186.33203125" style="646" customWidth="1"/>
    <col min="7953" max="7953" width="50" style="646" customWidth="1"/>
    <col min="7954" max="7954" width="38.33203125" style="646" customWidth="1"/>
    <col min="7955" max="7956" width="49.83203125" style="646" customWidth="1"/>
    <col min="7957" max="7957" width="38.1640625" style="646" customWidth="1"/>
    <col min="7958" max="7958" width="49.83203125" style="646" customWidth="1"/>
    <col min="7959" max="7959" width="50" style="646" customWidth="1"/>
    <col min="7960" max="7960" width="38.33203125" style="646" customWidth="1"/>
    <col min="7961" max="7962" width="49.83203125" style="646" customWidth="1"/>
    <col min="7963" max="7963" width="38.1640625" style="646" customWidth="1"/>
    <col min="7964" max="7965" width="50" style="646" customWidth="1"/>
    <col min="7966" max="7966" width="38.33203125" style="646" customWidth="1"/>
    <col min="7967" max="7967" width="50" style="646" customWidth="1"/>
    <col min="7968" max="7968" width="186.33203125" style="646" customWidth="1"/>
    <col min="7969" max="7969" width="50" style="646" customWidth="1"/>
    <col min="7970" max="7970" width="38.33203125" style="646" customWidth="1"/>
    <col min="7971" max="7971" width="49.83203125" style="646" customWidth="1"/>
    <col min="7972" max="7972" width="50" style="646" customWidth="1"/>
    <col min="7973" max="7973" width="45" style="646" customWidth="1"/>
    <col min="7974" max="7974" width="50.33203125" style="646" customWidth="1"/>
    <col min="7975" max="7975" width="50" style="646" customWidth="1"/>
    <col min="7976" max="7976" width="45" style="646" customWidth="1"/>
    <col min="7977" max="7977" width="50" style="646" customWidth="1"/>
    <col min="7978" max="7978" width="51" style="646" customWidth="1"/>
    <col min="7979" max="8191" width="9.33203125" style="646"/>
    <col min="8192" max="8192" width="186.33203125" style="646" customWidth="1"/>
    <col min="8193" max="8193" width="49.83203125" style="646" customWidth="1"/>
    <col min="8194" max="8194" width="38.33203125" style="646" customWidth="1"/>
    <col min="8195" max="8196" width="50" style="646" customWidth="1"/>
    <col min="8197" max="8197" width="37.6640625" style="646" customWidth="1"/>
    <col min="8198" max="8199" width="50" style="646" customWidth="1"/>
    <col min="8200" max="8200" width="38.1640625" style="646" customWidth="1"/>
    <col min="8201" max="8202" width="50" style="646" customWidth="1"/>
    <col min="8203" max="8203" width="38.33203125" style="646" customWidth="1"/>
    <col min="8204" max="8205" width="50" style="646" customWidth="1"/>
    <col min="8206" max="8206" width="38.33203125" style="646" customWidth="1"/>
    <col min="8207" max="8207" width="50" style="646" customWidth="1"/>
    <col min="8208" max="8208" width="186.33203125" style="646" customWidth="1"/>
    <col min="8209" max="8209" width="50" style="646" customWidth="1"/>
    <col min="8210" max="8210" width="38.33203125" style="646" customWidth="1"/>
    <col min="8211" max="8212" width="49.83203125" style="646" customWidth="1"/>
    <col min="8213" max="8213" width="38.1640625" style="646" customWidth="1"/>
    <col min="8214" max="8214" width="49.83203125" style="646" customWidth="1"/>
    <col min="8215" max="8215" width="50" style="646" customWidth="1"/>
    <col min="8216" max="8216" width="38.33203125" style="646" customWidth="1"/>
    <col min="8217" max="8218" width="49.83203125" style="646" customWidth="1"/>
    <col min="8219" max="8219" width="38.1640625" style="646" customWidth="1"/>
    <col min="8220" max="8221" width="50" style="646" customWidth="1"/>
    <col min="8222" max="8222" width="38.33203125" style="646" customWidth="1"/>
    <col min="8223" max="8223" width="50" style="646" customWidth="1"/>
    <col min="8224" max="8224" width="186.33203125" style="646" customWidth="1"/>
    <col min="8225" max="8225" width="50" style="646" customWidth="1"/>
    <col min="8226" max="8226" width="38.33203125" style="646" customWidth="1"/>
    <col min="8227" max="8227" width="49.83203125" style="646" customWidth="1"/>
    <col min="8228" max="8228" width="50" style="646" customWidth="1"/>
    <col min="8229" max="8229" width="45" style="646" customWidth="1"/>
    <col min="8230" max="8230" width="50.33203125" style="646" customWidth="1"/>
    <col min="8231" max="8231" width="50" style="646" customWidth="1"/>
    <col min="8232" max="8232" width="45" style="646" customWidth="1"/>
    <col min="8233" max="8233" width="50" style="646" customWidth="1"/>
    <col min="8234" max="8234" width="51" style="646" customWidth="1"/>
    <col min="8235" max="8447" width="9.33203125" style="646"/>
    <col min="8448" max="8448" width="186.33203125" style="646" customWidth="1"/>
    <col min="8449" max="8449" width="49.83203125" style="646" customWidth="1"/>
    <col min="8450" max="8450" width="38.33203125" style="646" customWidth="1"/>
    <col min="8451" max="8452" width="50" style="646" customWidth="1"/>
    <col min="8453" max="8453" width="37.6640625" style="646" customWidth="1"/>
    <col min="8454" max="8455" width="50" style="646" customWidth="1"/>
    <col min="8456" max="8456" width="38.1640625" style="646" customWidth="1"/>
    <col min="8457" max="8458" width="50" style="646" customWidth="1"/>
    <col min="8459" max="8459" width="38.33203125" style="646" customWidth="1"/>
    <col min="8460" max="8461" width="50" style="646" customWidth="1"/>
    <col min="8462" max="8462" width="38.33203125" style="646" customWidth="1"/>
    <col min="8463" max="8463" width="50" style="646" customWidth="1"/>
    <col min="8464" max="8464" width="186.33203125" style="646" customWidth="1"/>
    <col min="8465" max="8465" width="50" style="646" customWidth="1"/>
    <col min="8466" max="8466" width="38.33203125" style="646" customWidth="1"/>
    <col min="8467" max="8468" width="49.83203125" style="646" customWidth="1"/>
    <col min="8469" max="8469" width="38.1640625" style="646" customWidth="1"/>
    <col min="8470" max="8470" width="49.83203125" style="646" customWidth="1"/>
    <col min="8471" max="8471" width="50" style="646" customWidth="1"/>
    <col min="8472" max="8472" width="38.33203125" style="646" customWidth="1"/>
    <col min="8473" max="8474" width="49.83203125" style="646" customWidth="1"/>
    <col min="8475" max="8475" width="38.1640625" style="646" customWidth="1"/>
    <col min="8476" max="8477" width="50" style="646" customWidth="1"/>
    <col min="8478" max="8478" width="38.33203125" style="646" customWidth="1"/>
    <col min="8479" max="8479" width="50" style="646" customWidth="1"/>
    <col min="8480" max="8480" width="186.33203125" style="646" customWidth="1"/>
    <col min="8481" max="8481" width="50" style="646" customWidth="1"/>
    <col min="8482" max="8482" width="38.33203125" style="646" customWidth="1"/>
    <col min="8483" max="8483" width="49.83203125" style="646" customWidth="1"/>
    <col min="8484" max="8484" width="50" style="646" customWidth="1"/>
    <col min="8485" max="8485" width="45" style="646" customWidth="1"/>
    <col min="8486" max="8486" width="50.33203125" style="646" customWidth="1"/>
    <col min="8487" max="8487" width="50" style="646" customWidth="1"/>
    <col min="8488" max="8488" width="45" style="646" customWidth="1"/>
    <col min="8489" max="8489" width="50" style="646" customWidth="1"/>
    <col min="8490" max="8490" width="51" style="646" customWidth="1"/>
    <col min="8491" max="8703" width="9.33203125" style="646"/>
    <col min="8704" max="8704" width="186.33203125" style="646" customWidth="1"/>
    <col min="8705" max="8705" width="49.83203125" style="646" customWidth="1"/>
    <col min="8706" max="8706" width="38.33203125" style="646" customWidth="1"/>
    <col min="8707" max="8708" width="50" style="646" customWidth="1"/>
    <col min="8709" max="8709" width="37.6640625" style="646" customWidth="1"/>
    <col min="8710" max="8711" width="50" style="646" customWidth="1"/>
    <col min="8712" max="8712" width="38.1640625" style="646" customWidth="1"/>
    <col min="8713" max="8714" width="50" style="646" customWidth="1"/>
    <col min="8715" max="8715" width="38.33203125" style="646" customWidth="1"/>
    <col min="8716" max="8717" width="50" style="646" customWidth="1"/>
    <col min="8718" max="8718" width="38.33203125" style="646" customWidth="1"/>
    <col min="8719" max="8719" width="50" style="646" customWidth="1"/>
    <col min="8720" max="8720" width="186.33203125" style="646" customWidth="1"/>
    <col min="8721" max="8721" width="50" style="646" customWidth="1"/>
    <col min="8722" max="8722" width="38.33203125" style="646" customWidth="1"/>
    <col min="8723" max="8724" width="49.83203125" style="646" customWidth="1"/>
    <col min="8725" max="8725" width="38.1640625" style="646" customWidth="1"/>
    <col min="8726" max="8726" width="49.83203125" style="646" customWidth="1"/>
    <col min="8727" max="8727" width="50" style="646" customWidth="1"/>
    <col min="8728" max="8728" width="38.33203125" style="646" customWidth="1"/>
    <col min="8729" max="8730" width="49.83203125" style="646" customWidth="1"/>
    <col min="8731" max="8731" width="38.1640625" style="646" customWidth="1"/>
    <col min="8732" max="8733" width="50" style="646" customWidth="1"/>
    <col min="8734" max="8734" width="38.33203125" style="646" customWidth="1"/>
    <col min="8735" max="8735" width="50" style="646" customWidth="1"/>
    <col min="8736" max="8736" width="186.33203125" style="646" customWidth="1"/>
    <col min="8737" max="8737" width="50" style="646" customWidth="1"/>
    <col min="8738" max="8738" width="38.33203125" style="646" customWidth="1"/>
    <col min="8739" max="8739" width="49.83203125" style="646" customWidth="1"/>
    <col min="8740" max="8740" width="50" style="646" customWidth="1"/>
    <col min="8741" max="8741" width="45" style="646" customWidth="1"/>
    <col min="8742" max="8742" width="50.33203125" style="646" customWidth="1"/>
    <col min="8743" max="8743" width="50" style="646" customWidth="1"/>
    <col min="8744" max="8744" width="45" style="646" customWidth="1"/>
    <col min="8745" max="8745" width="50" style="646" customWidth="1"/>
    <col min="8746" max="8746" width="51" style="646" customWidth="1"/>
    <col min="8747" max="8959" width="9.33203125" style="646"/>
    <col min="8960" max="8960" width="186.33203125" style="646" customWidth="1"/>
    <col min="8961" max="8961" width="49.83203125" style="646" customWidth="1"/>
    <col min="8962" max="8962" width="38.33203125" style="646" customWidth="1"/>
    <col min="8963" max="8964" width="50" style="646" customWidth="1"/>
    <col min="8965" max="8965" width="37.6640625" style="646" customWidth="1"/>
    <col min="8966" max="8967" width="50" style="646" customWidth="1"/>
    <col min="8968" max="8968" width="38.1640625" style="646" customWidth="1"/>
    <col min="8969" max="8970" width="50" style="646" customWidth="1"/>
    <col min="8971" max="8971" width="38.33203125" style="646" customWidth="1"/>
    <col min="8972" max="8973" width="50" style="646" customWidth="1"/>
    <col min="8974" max="8974" width="38.33203125" style="646" customWidth="1"/>
    <col min="8975" max="8975" width="50" style="646" customWidth="1"/>
    <col min="8976" max="8976" width="186.33203125" style="646" customWidth="1"/>
    <col min="8977" max="8977" width="50" style="646" customWidth="1"/>
    <col min="8978" max="8978" width="38.33203125" style="646" customWidth="1"/>
    <col min="8979" max="8980" width="49.83203125" style="646" customWidth="1"/>
    <col min="8981" max="8981" width="38.1640625" style="646" customWidth="1"/>
    <col min="8982" max="8982" width="49.83203125" style="646" customWidth="1"/>
    <col min="8983" max="8983" width="50" style="646" customWidth="1"/>
    <col min="8984" max="8984" width="38.33203125" style="646" customWidth="1"/>
    <col min="8985" max="8986" width="49.83203125" style="646" customWidth="1"/>
    <col min="8987" max="8987" width="38.1640625" style="646" customWidth="1"/>
    <col min="8988" max="8989" width="50" style="646" customWidth="1"/>
    <col min="8990" max="8990" width="38.33203125" style="646" customWidth="1"/>
    <col min="8991" max="8991" width="50" style="646" customWidth="1"/>
    <col min="8992" max="8992" width="186.33203125" style="646" customWidth="1"/>
    <col min="8993" max="8993" width="50" style="646" customWidth="1"/>
    <col min="8994" max="8994" width="38.33203125" style="646" customWidth="1"/>
    <col min="8995" max="8995" width="49.83203125" style="646" customWidth="1"/>
    <col min="8996" max="8996" width="50" style="646" customWidth="1"/>
    <col min="8997" max="8997" width="45" style="646" customWidth="1"/>
    <col min="8998" max="8998" width="50.33203125" style="646" customWidth="1"/>
    <col min="8999" max="8999" width="50" style="646" customWidth="1"/>
    <col min="9000" max="9000" width="45" style="646" customWidth="1"/>
    <col min="9001" max="9001" width="50" style="646" customWidth="1"/>
    <col min="9002" max="9002" width="51" style="646" customWidth="1"/>
    <col min="9003" max="9215" width="9.33203125" style="646"/>
    <col min="9216" max="9216" width="186.33203125" style="646" customWidth="1"/>
    <col min="9217" max="9217" width="49.83203125" style="646" customWidth="1"/>
    <col min="9218" max="9218" width="38.33203125" style="646" customWidth="1"/>
    <col min="9219" max="9220" width="50" style="646" customWidth="1"/>
    <col min="9221" max="9221" width="37.6640625" style="646" customWidth="1"/>
    <col min="9222" max="9223" width="50" style="646" customWidth="1"/>
    <col min="9224" max="9224" width="38.1640625" style="646" customWidth="1"/>
    <col min="9225" max="9226" width="50" style="646" customWidth="1"/>
    <col min="9227" max="9227" width="38.33203125" style="646" customWidth="1"/>
    <col min="9228" max="9229" width="50" style="646" customWidth="1"/>
    <col min="9230" max="9230" width="38.33203125" style="646" customWidth="1"/>
    <col min="9231" max="9231" width="50" style="646" customWidth="1"/>
    <col min="9232" max="9232" width="186.33203125" style="646" customWidth="1"/>
    <col min="9233" max="9233" width="50" style="646" customWidth="1"/>
    <col min="9234" max="9234" width="38.33203125" style="646" customWidth="1"/>
    <col min="9235" max="9236" width="49.83203125" style="646" customWidth="1"/>
    <col min="9237" max="9237" width="38.1640625" style="646" customWidth="1"/>
    <col min="9238" max="9238" width="49.83203125" style="646" customWidth="1"/>
    <col min="9239" max="9239" width="50" style="646" customWidth="1"/>
    <col min="9240" max="9240" width="38.33203125" style="646" customWidth="1"/>
    <col min="9241" max="9242" width="49.83203125" style="646" customWidth="1"/>
    <col min="9243" max="9243" width="38.1640625" style="646" customWidth="1"/>
    <col min="9244" max="9245" width="50" style="646" customWidth="1"/>
    <col min="9246" max="9246" width="38.33203125" style="646" customWidth="1"/>
    <col min="9247" max="9247" width="50" style="646" customWidth="1"/>
    <col min="9248" max="9248" width="186.33203125" style="646" customWidth="1"/>
    <col min="9249" max="9249" width="50" style="646" customWidth="1"/>
    <col min="9250" max="9250" width="38.33203125" style="646" customWidth="1"/>
    <col min="9251" max="9251" width="49.83203125" style="646" customWidth="1"/>
    <col min="9252" max="9252" width="50" style="646" customWidth="1"/>
    <col min="9253" max="9253" width="45" style="646" customWidth="1"/>
    <col min="9254" max="9254" width="50.33203125" style="646" customWidth="1"/>
    <col min="9255" max="9255" width="50" style="646" customWidth="1"/>
    <col min="9256" max="9256" width="45" style="646" customWidth="1"/>
    <col min="9257" max="9257" width="50" style="646" customWidth="1"/>
    <col min="9258" max="9258" width="51" style="646" customWidth="1"/>
    <col min="9259" max="9471" width="9.33203125" style="646"/>
    <col min="9472" max="9472" width="186.33203125" style="646" customWidth="1"/>
    <col min="9473" max="9473" width="49.83203125" style="646" customWidth="1"/>
    <col min="9474" max="9474" width="38.33203125" style="646" customWidth="1"/>
    <col min="9475" max="9476" width="50" style="646" customWidth="1"/>
    <col min="9477" max="9477" width="37.6640625" style="646" customWidth="1"/>
    <col min="9478" max="9479" width="50" style="646" customWidth="1"/>
    <col min="9480" max="9480" width="38.1640625" style="646" customWidth="1"/>
    <col min="9481" max="9482" width="50" style="646" customWidth="1"/>
    <col min="9483" max="9483" width="38.33203125" style="646" customWidth="1"/>
    <col min="9484" max="9485" width="50" style="646" customWidth="1"/>
    <col min="9486" max="9486" width="38.33203125" style="646" customWidth="1"/>
    <col min="9487" max="9487" width="50" style="646" customWidth="1"/>
    <col min="9488" max="9488" width="186.33203125" style="646" customWidth="1"/>
    <col min="9489" max="9489" width="50" style="646" customWidth="1"/>
    <col min="9490" max="9490" width="38.33203125" style="646" customWidth="1"/>
    <col min="9491" max="9492" width="49.83203125" style="646" customWidth="1"/>
    <col min="9493" max="9493" width="38.1640625" style="646" customWidth="1"/>
    <col min="9494" max="9494" width="49.83203125" style="646" customWidth="1"/>
    <col min="9495" max="9495" width="50" style="646" customWidth="1"/>
    <col min="9496" max="9496" width="38.33203125" style="646" customWidth="1"/>
    <col min="9497" max="9498" width="49.83203125" style="646" customWidth="1"/>
    <col min="9499" max="9499" width="38.1640625" style="646" customWidth="1"/>
    <col min="9500" max="9501" width="50" style="646" customWidth="1"/>
    <col min="9502" max="9502" width="38.33203125" style="646" customWidth="1"/>
    <col min="9503" max="9503" width="50" style="646" customWidth="1"/>
    <col min="9504" max="9504" width="186.33203125" style="646" customWidth="1"/>
    <col min="9505" max="9505" width="50" style="646" customWidth="1"/>
    <col min="9506" max="9506" width="38.33203125" style="646" customWidth="1"/>
    <col min="9507" max="9507" width="49.83203125" style="646" customWidth="1"/>
    <col min="9508" max="9508" width="50" style="646" customWidth="1"/>
    <col min="9509" max="9509" width="45" style="646" customWidth="1"/>
    <col min="9510" max="9510" width="50.33203125" style="646" customWidth="1"/>
    <col min="9511" max="9511" width="50" style="646" customWidth="1"/>
    <col min="9512" max="9512" width="45" style="646" customWidth="1"/>
    <col min="9513" max="9513" width="50" style="646" customWidth="1"/>
    <col min="9514" max="9514" width="51" style="646" customWidth="1"/>
    <col min="9515" max="9727" width="9.33203125" style="646"/>
    <col min="9728" max="9728" width="186.33203125" style="646" customWidth="1"/>
    <col min="9729" max="9729" width="49.83203125" style="646" customWidth="1"/>
    <col min="9730" max="9730" width="38.33203125" style="646" customWidth="1"/>
    <col min="9731" max="9732" width="50" style="646" customWidth="1"/>
    <col min="9733" max="9733" width="37.6640625" style="646" customWidth="1"/>
    <col min="9734" max="9735" width="50" style="646" customWidth="1"/>
    <col min="9736" max="9736" width="38.1640625" style="646" customWidth="1"/>
    <col min="9737" max="9738" width="50" style="646" customWidth="1"/>
    <col min="9739" max="9739" width="38.33203125" style="646" customWidth="1"/>
    <col min="9740" max="9741" width="50" style="646" customWidth="1"/>
    <col min="9742" max="9742" width="38.33203125" style="646" customWidth="1"/>
    <col min="9743" max="9743" width="50" style="646" customWidth="1"/>
    <col min="9744" max="9744" width="186.33203125" style="646" customWidth="1"/>
    <col min="9745" max="9745" width="50" style="646" customWidth="1"/>
    <col min="9746" max="9746" width="38.33203125" style="646" customWidth="1"/>
    <col min="9747" max="9748" width="49.83203125" style="646" customWidth="1"/>
    <col min="9749" max="9749" width="38.1640625" style="646" customWidth="1"/>
    <col min="9750" max="9750" width="49.83203125" style="646" customWidth="1"/>
    <col min="9751" max="9751" width="50" style="646" customWidth="1"/>
    <col min="9752" max="9752" width="38.33203125" style="646" customWidth="1"/>
    <col min="9753" max="9754" width="49.83203125" style="646" customWidth="1"/>
    <col min="9755" max="9755" width="38.1640625" style="646" customWidth="1"/>
    <col min="9756" max="9757" width="50" style="646" customWidth="1"/>
    <col min="9758" max="9758" width="38.33203125" style="646" customWidth="1"/>
    <col min="9759" max="9759" width="50" style="646" customWidth="1"/>
    <col min="9760" max="9760" width="186.33203125" style="646" customWidth="1"/>
    <col min="9761" max="9761" width="50" style="646" customWidth="1"/>
    <col min="9762" max="9762" width="38.33203125" style="646" customWidth="1"/>
    <col min="9763" max="9763" width="49.83203125" style="646" customWidth="1"/>
    <col min="9764" max="9764" width="50" style="646" customWidth="1"/>
    <col min="9765" max="9765" width="45" style="646" customWidth="1"/>
    <col min="9766" max="9766" width="50.33203125" style="646" customWidth="1"/>
    <col min="9767" max="9767" width="50" style="646" customWidth="1"/>
    <col min="9768" max="9768" width="45" style="646" customWidth="1"/>
    <col min="9769" max="9769" width="50" style="646" customWidth="1"/>
    <col min="9770" max="9770" width="51" style="646" customWidth="1"/>
    <col min="9771" max="9983" width="9.33203125" style="646"/>
    <col min="9984" max="9984" width="186.33203125" style="646" customWidth="1"/>
    <col min="9985" max="9985" width="49.83203125" style="646" customWidth="1"/>
    <col min="9986" max="9986" width="38.33203125" style="646" customWidth="1"/>
    <col min="9987" max="9988" width="50" style="646" customWidth="1"/>
    <col min="9989" max="9989" width="37.6640625" style="646" customWidth="1"/>
    <col min="9990" max="9991" width="50" style="646" customWidth="1"/>
    <col min="9992" max="9992" width="38.1640625" style="646" customWidth="1"/>
    <col min="9993" max="9994" width="50" style="646" customWidth="1"/>
    <col min="9995" max="9995" width="38.33203125" style="646" customWidth="1"/>
    <col min="9996" max="9997" width="50" style="646" customWidth="1"/>
    <col min="9998" max="9998" width="38.33203125" style="646" customWidth="1"/>
    <col min="9999" max="9999" width="50" style="646" customWidth="1"/>
    <col min="10000" max="10000" width="186.33203125" style="646" customWidth="1"/>
    <col min="10001" max="10001" width="50" style="646" customWidth="1"/>
    <col min="10002" max="10002" width="38.33203125" style="646" customWidth="1"/>
    <col min="10003" max="10004" width="49.83203125" style="646" customWidth="1"/>
    <col min="10005" max="10005" width="38.1640625" style="646" customWidth="1"/>
    <col min="10006" max="10006" width="49.83203125" style="646" customWidth="1"/>
    <col min="10007" max="10007" width="50" style="646" customWidth="1"/>
    <col min="10008" max="10008" width="38.33203125" style="646" customWidth="1"/>
    <col min="10009" max="10010" width="49.83203125" style="646" customWidth="1"/>
    <col min="10011" max="10011" width="38.1640625" style="646" customWidth="1"/>
    <col min="10012" max="10013" width="50" style="646" customWidth="1"/>
    <col min="10014" max="10014" width="38.33203125" style="646" customWidth="1"/>
    <col min="10015" max="10015" width="50" style="646" customWidth="1"/>
    <col min="10016" max="10016" width="186.33203125" style="646" customWidth="1"/>
    <col min="10017" max="10017" width="50" style="646" customWidth="1"/>
    <col min="10018" max="10018" width="38.33203125" style="646" customWidth="1"/>
    <col min="10019" max="10019" width="49.83203125" style="646" customWidth="1"/>
    <col min="10020" max="10020" width="50" style="646" customWidth="1"/>
    <col min="10021" max="10021" width="45" style="646" customWidth="1"/>
    <col min="10022" max="10022" width="50.33203125" style="646" customWidth="1"/>
    <col min="10023" max="10023" width="50" style="646" customWidth="1"/>
    <col min="10024" max="10024" width="45" style="646" customWidth="1"/>
    <col min="10025" max="10025" width="50" style="646" customWidth="1"/>
    <col min="10026" max="10026" width="51" style="646" customWidth="1"/>
    <col min="10027" max="10239" width="9.33203125" style="646"/>
    <col min="10240" max="10240" width="186.33203125" style="646" customWidth="1"/>
    <col min="10241" max="10241" width="49.83203125" style="646" customWidth="1"/>
    <col min="10242" max="10242" width="38.33203125" style="646" customWidth="1"/>
    <col min="10243" max="10244" width="50" style="646" customWidth="1"/>
    <col min="10245" max="10245" width="37.6640625" style="646" customWidth="1"/>
    <col min="10246" max="10247" width="50" style="646" customWidth="1"/>
    <col min="10248" max="10248" width="38.1640625" style="646" customWidth="1"/>
    <col min="10249" max="10250" width="50" style="646" customWidth="1"/>
    <col min="10251" max="10251" width="38.33203125" style="646" customWidth="1"/>
    <col min="10252" max="10253" width="50" style="646" customWidth="1"/>
    <col min="10254" max="10254" width="38.33203125" style="646" customWidth="1"/>
    <col min="10255" max="10255" width="50" style="646" customWidth="1"/>
    <col min="10256" max="10256" width="186.33203125" style="646" customWidth="1"/>
    <col min="10257" max="10257" width="50" style="646" customWidth="1"/>
    <col min="10258" max="10258" width="38.33203125" style="646" customWidth="1"/>
    <col min="10259" max="10260" width="49.83203125" style="646" customWidth="1"/>
    <col min="10261" max="10261" width="38.1640625" style="646" customWidth="1"/>
    <col min="10262" max="10262" width="49.83203125" style="646" customWidth="1"/>
    <col min="10263" max="10263" width="50" style="646" customWidth="1"/>
    <col min="10264" max="10264" width="38.33203125" style="646" customWidth="1"/>
    <col min="10265" max="10266" width="49.83203125" style="646" customWidth="1"/>
    <col min="10267" max="10267" width="38.1640625" style="646" customWidth="1"/>
    <col min="10268" max="10269" width="50" style="646" customWidth="1"/>
    <col min="10270" max="10270" width="38.33203125" style="646" customWidth="1"/>
    <col min="10271" max="10271" width="50" style="646" customWidth="1"/>
    <col min="10272" max="10272" width="186.33203125" style="646" customWidth="1"/>
    <col min="10273" max="10273" width="50" style="646" customWidth="1"/>
    <col min="10274" max="10274" width="38.33203125" style="646" customWidth="1"/>
    <col min="10275" max="10275" width="49.83203125" style="646" customWidth="1"/>
    <col min="10276" max="10276" width="50" style="646" customWidth="1"/>
    <col min="10277" max="10277" width="45" style="646" customWidth="1"/>
    <col min="10278" max="10278" width="50.33203125" style="646" customWidth="1"/>
    <col min="10279" max="10279" width="50" style="646" customWidth="1"/>
    <col min="10280" max="10280" width="45" style="646" customWidth="1"/>
    <col min="10281" max="10281" width="50" style="646" customWidth="1"/>
    <col min="10282" max="10282" width="51" style="646" customWidth="1"/>
    <col min="10283" max="10495" width="9.33203125" style="646"/>
    <col min="10496" max="10496" width="186.33203125" style="646" customWidth="1"/>
    <col min="10497" max="10497" width="49.83203125" style="646" customWidth="1"/>
    <col min="10498" max="10498" width="38.33203125" style="646" customWidth="1"/>
    <col min="10499" max="10500" width="50" style="646" customWidth="1"/>
    <col min="10501" max="10501" width="37.6640625" style="646" customWidth="1"/>
    <col min="10502" max="10503" width="50" style="646" customWidth="1"/>
    <col min="10504" max="10504" width="38.1640625" style="646" customWidth="1"/>
    <col min="10505" max="10506" width="50" style="646" customWidth="1"/>
    <col min="10507" max="10507" width="38.33203125" style="646" customWidth="1"/>
    <col min="10508" max="10509" width="50" style="646" customWidth="1"/>
    <col min="10510" max="10510" width="38.33203125" style="646" customWidth="1"/>
    <col min="10511" max="10511" width="50" style="646" customWidth="1"/>
    <col min="10512" max="10512" width="186.33203125" style="646" customWidth="1"/>
    <col min="10513" max="10513" width="50" style="646" customWidth="1"/>
    <col min="10514" max="10514" width="38.33203125" style="646" customWidth="1"/>
    <col min="10515" max="10516" width="49.83203125" style="646" customWidth="1"/>
    <col min="10517" max="10517" width="38.1640625" style="646" customWidth="1"/>
    <col min="10518" max="10518" width="49.83203125" style="646" customWidth="1"/>
    <col min="10519" max="10519" width="50" style="646" customWidth="1"/>
    <col min="10520" max="10520" width="38.33203125" style="646" customWidth="1"/>
    <col min="10521" max="10522" width="49.83203125" style="646" customWidth="1"/>
    <col min="10523" max="10523" width="38.1640625" style="646" customWidth="1"/>
    <col min="10524" max="10525" width="50" style="646" customWidth="1"/>
    <col min="10526" max="10526" width="38.33203125" style="646" customWidth="1"/>
    <col min="10527" max="10527" width="50" style="646" customWidth="1"/>
    <col min="10528" max="10528" width="186.33203125" style="646" customWidth="1"/>
    <col min="10529" max="10529" width="50" style="646" customWidth="1"/>
    <col min="10530" max="10530" width="38.33203125" style="646" customWidth="1"/>
    <col min="10531" max="10531" width="49.83203125" style="646" customWidth="1"/>
    <col min="10532" max="10532" width="50" style="646" customWidth="1"/>
    <col min="10533" max="10533" width="45" style="646" customWidth="1"/>
    <col min="10534" max="10534" width="50.33203125" style="646" customWidth="1"/>
    <col min="10535" max="10535" width="50" style="646" customWidth="1"/>
    <col min="10536" max="10536" width="45" style="646" customWidth="1"/>
    <col min="10537" max="10537" width="50" style="646" customWidth="1"/>
    <col min="10538" max="10538" width="51" style="646" customWidth="1"/>
    <col min="10539" max="10751" width="9.33203125" style="646"/>
    <col min="10752" max="10752" width="186.33203125" style="646" customWidth="1"/>
    <col min="10753" max="10753" width="49.83203125" style="646" customWidth="1"/>
    <col min="10754" max="10754" width="38.33203125" style="646" customWidth="1"/>
    <col min="10755" max="10756" width="50" style="646" customWidth="1"/>
    <col min="10757" max="10757" width="37.6640625" style="646" customWidth="1"/>
    <col min="10758" max="10759" width="50" style="646" customWidth="1"/>
    <col min="10760" max="10760" width="38.1640625" style="646" customWidth="1"/>
    <col min="10761" max="10762" width="50" style="646" customWidth="1"/>
    <col min="10763" max="10763" width="38.33203125" style="646" customWidth="1"/>
    <col min="10764" max="10765" width="50" style="646" customWidth="1"/>
    <col min="10766" max="10766" width="38.33203125" style="646" customWidth="1"/>
    <col min="10767" max="10767" width="50" style="646" customWidth="1"/>
    <col min="10768" max="10768" width="186.33203125" style="646" customWidth="1"/>
    <col min="10769" max="10769" width="50" style="646" customWidth="1"/>
    <col min="10770" max="10770" width="38.33203125" style="646" customWidth="1"/>
    <col min="10771" max="10772" width="49.83203125" style="646" customWidth="1"/>
    <col min="10773" max="10773" width="38.1640625" style="646" customWidth="1"/>
    <col min="10774" max="10774" width="49.83203125" style="646" customWidth="1"/>
    <col min="10775" max="10775" width="50" style="646" customWidth="1"/>
    <col min="10776" max="10776" width="38.33203125" style="646" customWidth="1"/>
    <col min="10777" max="10778" width="49.83203125" style="646" customWidth="1"/>
    <col min="10779" max="10779" width="38.1640625" style="646" customWidth="1"/>
    <col min="10780" max="10781" width="50" style="646" customWidth="1"/>
    <col min="10782" max="10782" width="38.33203125" style="646" customWidth="1"/>
    <col min="10783" max="10783" width="50" style="646" customWidth="1"/>
    <col min="10784" max="10784" width="186.33203125" style="646" customWidth="1"/>
    <col min="10785" max="10785" width="50" style="646" customWidth="1"/>
    <col min="10786" max="10786" width="38.33203125" style="646" customWidth="1"/>
    <col min="10787" max="10787" width="49.83203125" style="646" customWidth="1"/>
    <col min="10788" max="10788" width="50" style="646" customWidth="1"/>
    <col min="10789" max="10789" width="45" style="646" customWidth="1"/>
    <col min="10790" max="10790" width="50.33203125" style="646" customWidth="1"/>
    <col min="10791" max="10791" width="50" style="646" customWidth="1"/>
    <col min="10792" max="10792" width="45" style="646" customWidth="1"/>
    <col min="10793" max="10793" width="50" style="646" customWidth="1"/>
    <col min="10794" max="10794" width="51" style="646" customWidth="1"/>
    <col min="10795" max="11007" width="9.33203125" style="646"/>
    <col min="11008" max="11008" width="186.33203125" style="646" customWidth="1"/>
    <col min="11009" max="11009" width="49.83203125" style="646" customWidth="1"/>
    <col min="11010" max="11010" width="38.33203125" style="646" customWidth="1"/>
    <col min="11011" max="11012" width="50" style="646" customWidth="1"/>
    <col min="11013" max="11013" width="37.6640625" style="646" customWidth="1"/>
    <col min="11014" max="11015" width="50" style="646" customWidth="1"/>
    <col min="11016" max="11016" width="38.1640625" style="646" customWidth="1"/>
    <col min="11017" max="11018" width="50" style="646" customWidth="1"/>
    <col min="11019" max="11019" width="38.33203125" style="646" customWidth="1"/>
    <col min="11020" max="11021" width="50" style="646" customWidth="1"/>
    <col min="11022" max="11022" width="38.33203125" style="646" customWidth="1"/>
    <col min="11023" max="11023" width="50" style="646" customWidth="1"/>
    <col min="11024" max="11024" width="186.33203125" style="646" customWidth="1"/>
    <col min="11025" max="11025" width="50" style="646" customWidth="1"/>
    <col min="11026" max="11026" width="38.33203125" style="646" customWidth="1"/>
    <col min="11027" max="11028" width="49.83203125" style="646" customWidth="1"/>
    <col min="11029" max="11029" width="38.1640625" style="646" customWidth="1"/>
    <col min="11030" max="11030" width="49.83203125" style="646" customWidth="1"/>
    <col min="11031" max="11031" width="50" style="646" customWidth="1"/>
    <col min="11032" max="11032" width="38.33203125" style="646" customWidth="1"/>
    <col min="11033" max="11034" width="49.83203125" style="646" customWidth="1"/>
    <col min="11035" max="11035" width="38.1640625" style="646" customWidth="1"/>
    <col min="11036" max="11037" width="50" style="646" customWidth="1"/>
    <col min="11038" max="11038" width="38.33203125" style="646" customWidth="1"/>
    <col min="11039" max="11039" width="50" style="646" customWidth="1"/>
    <col min="11040" max="11040" width="186.33203125" style="646" customWidth="1"/>
    <col min="11041" max="11041" width="50" style="646" customWidth="1"/>
    <col min="11042" max="11042" width="38.33203125" style="646" customWidth="1"/>
    <col min="11043" max="11043" width="49.83203125" style="646" customWidth="1"/>
    <col min="11044" max="11044" width="50" style="646" customWidth="1"/>
    <col min="11045" max="11045" width="45" style="646" customWidth="1"/>
    <col min="11046" max="11046" width="50.33203125" style="646" customWidth="1"/>
    <col min="11047" max="11047" width="50" style="646" customWidth="1"/>
    <col min="11048" max="11048" width="45" style="646" customWidth="1"/>
    <col min="11049" max="11049" width="50" style="646" customWidth="1"/>
    <col min="11050" max="11050" width="51" style="646" customWidth="1"/>
    <col min="11051" max="11263" width="9.33203125" style="646"/>
    <col min="11264" max="11264" width="186.33203125" style="646" customWidth="1"/>
    <col min="11265" max="11265" width="49.83203125" style="646" customWidth="1"/>
    <col min="11266" max="11266" width="38.33203125" style="646" customWidth="1"/>
    <col min="11267" max="11268" width="50" style="646" customWidth="1"/>
    <col min="11269" max="11269" width="37.6640625" style="646" customWidth="1"/>
    <col min="11270" max="11271" width="50" style="646" customWidth="1"/>
    <col min="11272" max="11272" width="38.1640625" style="646" customWidth="1"/>
    <col min="11273" max="11274" width="50" style="646" customWidth="1"/>
    <col min="11275" max="11275" width="38.33203125" style="646" customWidth="1"/>
    <col min="11276" max="11277" width="50" style="646" customWidth="1"/>
    <col min="11278" max="11278" width="38.33203125" style="646" customWidth="1"/>
    <col min="11279" max="11279" width="50" style="646" customWidth="1"/>
    <col min="11280" max="11280" width="186.33203125" style="646" customWidth="1"/>
    <col min="11281" max="11281" width="50" style="646" customWidth="1"/>
    <col min="11282" max="11282" width="38.33203125" style="646" customWidth="1"/>
    <col min="11283" max="11284" width="49.83203125" style="646" customWidth="1"/>
    <col min="11285" max="11285" width="38.1640625" style="646" customWidth="1"/>
    <col min="11286" max="11286" width="49.83203125" style="646" customWidth="1"/>
    <col min="11287" max="11287" width="50" style="646" customWidth="1"/>
    <col min="11288" max="11288" width="38.33203125" style="646" customWidth="1"/>
    <col min="11289" max="11290" width="49.83203125" style="646" customWidth="1"/>
    <col min="11291" max="11291" width="38.1640625" style="646" customWidth="1"/>
    <col min="11292" max="11293" width="50" style="646" customWidth="1"/>
    <col min="11294" max="11294" width="38.33203125" style="646" customWidth="1"/>
    <col min="11295" max="11295" width="50" style="646" customWidth="1"/>
    <col min="11296" max="11296" width="186.33203125" style="646" customWidth="1"/>
    <col min="11297" max="11297" width="50" style="646" customWidth="1"/>
    <col min="11298" max="11298" width="38.33203125" style="646" customWidth="1"/>
    <col min="11299" max="11299" width="49.83203125" style="646" customWidth="1"/>
    <col min="11300" max="11300" width="50" style="646" customWidth="1"/>
    <col min="11301" max="11301" width="45" style="646" customWidth="1"/>
    <col min="11302" max="11302" width="50.33203125" style="646" customWidth="1"/>
    <col min="11303" max="11303" width="50" style="646" customWidth="1"/>
    <col min="11304" max="11304" width="45" style="646" customWidth="1"/>
    <col min="11305" max="11305" width="50" style="646" customWidth="1"/>
    <col min="11306" max="11306" width="51" style="646" customWidth="1"/>
    <col min="11307" max="11519" width="9.33203125" style="646"/>
    <col min="11520" max="11520" width="186.33203125" style="646" customWidth="1"/>
    <col min="11521" max="11521" width="49.83203125" style="646" customWidth="1"/>
    <col min="11522" max="11522" width="38.33203125" style="646" customWidth="1"/>
    <col min="11523" max="11524" width="50" style="646" customWidth="1"/>
    <col min="11525" max="11525" width="37.6640625" style="646" customWidth="1"/>
    <col min="11526" max="11527" width="50" style="646" customWidth="1"/>
    <col min="11528" max="11528" width="38.1640625" style="646" customWidth="1"/>
    <col min="11529" max="11530" width="50" style="646" customWidth="1"/>
    <col min="11531" max="11531" width="38.33203125" style="646" customWidth="1"/>
    <col min="11532" max="11533" width="50" style="646" customWidth="1"/>
    <col min="11534" max="11534" width="38.33203125" style="646" customWidth="1"/>
    <col min="11535" max="11535" width="50" style="646" customWidth="1"/>
    <col min="11536" max="11536" width="186.33203125" style="646" customWidth="1"/>
    <col min="11537" max="11537" width="50" style="646" customWidth="1"/>
    <col min="11538" max="11538" width="38.33203125" style="646" customWidth="1"/>
    <col min="11539" max="11540" width="49.83203125" style="646" customWidth="1"/>
    <col min="11541" max="11541" width="38.1640625" style="646" customWidth="1"/>
    <col min="11542" max="11542" width="49.83203125" style="646" customWidth="1"/>
    <col min="11543" max="11543" width="50" style="646" customWidth="1"/>
    <col min="11544" max="11544" width="38.33203125" style="646" customWidth="1"/>
    <col min="11545" max="11546" width="49.83203125" style="646" customWidth="1"/>
    <col min="11547" max="11547" width="38.1640625" style="646" customWidth="1"/>
    <col min="11548" max="11549" width="50" style="646" customWidth="1"/>
    <col min="11550" max="11550" width="38.33203125" style="646" customWidth="1"/>
    <col min="11551" max="11551" width="50" style="646" customWidth="1"/>
    <col min="11552" max="11552" width="186.33203125" style="646" customWidth="1"/>
    <col min="11553" max="11553" width="50" style="646" customWidth="1"/>
    <col min="11554" max="11554" width="38.33203125" style="646" customWidth="1"/>
    <col min="11555" max="11555" width="49.83203125" style="646" customWidth="1"/>
    <col min="11556" max="11556" width="50" style="646" customWidth="1"/>
    <col min="11557" max="11557" width="45" style="646" customWidth="1"/>
    <col min="11558" max="11558" width="50.33203125" style="646" customWidth="1"/>
    <col min="11559" max="11559" width="50" style="646" customWidth="1"/>
    <col min="11560" max="11560" width="45" style="646" customWidth="1"/>
    <col min="11561" max="11561" width="50" style="646" customWidth="1"/>
    <col min="11562" max="11562" width="51" style="646" customWidth="1"/>
    <col min="11563" max="11775" width="9.33203125" style="646"/>
    <col min="11776" max="11776" width="186.33203125" style="646" customWidth="1"/>
    <col min="11777" max="11777" width="49.83203125" style="646" customWidth="1"/>
    <col min="11778" max="11778" width="38.33203125" style="646" customWidth="1"/>
    <col min="11779" max="11780" width="50" style="646" customWidth="1"/>
    <col min="11781" max="11781" width="37.6640625" style="646" customWidth="1"/>
    <col min="11782" max="11783" width="50" style="646" customWidth="1"/>
    <col min="11784" max="11784" width="38.1640625" style="646" customWidth="1"/>
    <col min="11785" max="11786" width="50" style="646" customWidth="1"/>
    <col min="11787" max="11787" width="38.33203125" style="646" customWidth="1"/>
    <col min="11788" max="11789" width="50" style="646" customWidth="1"/>
    <col min="11790" max="11790" width="38.33203125" style="646" customWidth="1"/>
    <col min="11791" max="11791" width="50" style="646" customWidth="1"/>
    <col min="11792" max="11792" width="186.33203125" style="646" customWidth="1"/>
    <col min="11793" max="11793" width="50" style="646" customWidth="1"/>
    <col min="11794" max="11794" width="38.33203125" style="646" customWidth="1"/>
    <col min="11795" max="11796" width="49.83203125" style="646" customWidth="1"/>
    <col min="11797" max="11797" width="38.1640625" style="646" customWidth="1"/>
    <col min="11798" max="11798" width="49.83203125" style="646" customWidth="1"/>
    <col min="11799" max="11799" width="50" style="646" customWidth="1"/>
    <col min="11800" max="11800" width="38.33203125" style="646" customWidth="1"/>
    <col min="11801" max="11802" width="49.83203125" style="646" customWidth="1"/>
    <col min="11803" max="11803" width="38.1640625" style="646" customWidth="1"/>
    <col min="11804" max="11805" width="50" style="646" customWidth="1"/>
    <col min="11806" max="11806" width="38.33203125" style="646" customWidth="1"/>
    <col min="11807" max="11807" width="50" style="646" customWidth="1"/>
    <col min="11808" max="11808" width="186.33203125" style="646" customWidth="1"/>
    <col min="11809" max="11809" width="50" style="646" customWidth="1"/>
    <col min="11810" max="11810" width="38.33203125" style="646" customWidth="1"/>
    <col min="11811" max="11811" width="49.83203125" style="646" customWidth="1"/>
    <col min="11812" max="11812" width="50" style="646" customWidth="1"/>
    <col min="11813" max="11813" width="45" style="646" customWidth="1"/>
    <col min="11814" max="11814" width="50.33203125" style="646" customWidth="1"/>
    <col min="11815" max="11815" width="50" style="646" customWidth="1"/>
    <col min="11816" max="11816" width="45" style="646" customWidth="1"/>
    <col min="11817" max="11817" width="50" style="646" customWidth="1"/>
    <col min="11818" max="11818" width="51" style="646" customWidth="1"/>
    <col min="11819" max="12031" width="9.33203125" style="646"/>
    <col min="12032" max="12032" width="186.33203125" style="646" customWidth="1"/>
    <col min="12033" max="12033" width="49.83203125" style="646" customWidth="1"/>
    <col min="12034" max="12034" width="38.33203125" style="646" customWidth="1"/>
    <col min="12035" max="12036" width="50" style="646" customWidth="1"/>
    <col min="12037" max="12037" width="37.6640625" style="646" customWidth="1"/>
    <col min="12038" max="12039" width="50" style="646" customWidth="1"/>
    <col min="12040" max="12040" width="38.1640625" style="646" customWidth="1"/>
    <col min="12041" max="12042" width="50" style="646" customWidth="1"/>
    <col min="12043" max="12043" width="38.33203125" style="646" customWidth="1"/>
    <col min="12044" max="12045" width="50" style="646" customWidth="1"/>
    <col min="12046" max="12046" width="38.33203125" style="646" customWidth="1"/>
    <col min="12047" max="12047" width="50" style="646" customWidth="1"/>
    <col min="12048" max="12048" width="186.33203125" style="646" customWidth="1"/>
    <col min="12049" max="12049" width="50" style="646" customWidth="1"/>
    <col min="12050" max="12050" width="38.33203125" style="646" customWidth="1"/>
    <col min="12051" max="12052" width="49.83203125" style="646" customWidth="1"/>
    <col min="12053" max="12053" width="38.1640625" style="646" customWidth="1"/>
    <col min="12054" max="12054" width="49.83203125" style="646" customWidth="1"/>
    <col min="12055" max="12055" width="50" style="646" customWidth="1"/>
    <col min="12056" max="12056" width="38.33203125" style="646" customWidth="1"/>
    <col min="12057" max="12058" width="49.83203125" style="646" customWidth="1"/>
    <col min="12059" max="12059" width="38.1640625" style="646" customWidth="1"/>
    <col min="12060" max="12061" width="50" style="646" customWidth="1"/>
    <col min="12062" max="12062" width="38.33203125" style="646" customWidth="1"/>
    <col min="12063" max="12063" width="50" style="646" customWidth="1"/>
    <col min="12064" max="12064" width="186.33203125" style="646" customWidth="1"/>
    <col min="12065" max="12065" width="50" style="646" customWidth="1"/>
    <col min="12066" max="12066" width="38.33203125" style="646" customWidth="1"/>
    <col min="12067" max="12067" width="49.83203125" style="646" customWidth="1"/>
    <col min="12068" max="12068" width="50" style="646" customWidth="1"/>
    <col min="12069" max="12069" width="45" style="646" customWidth="1"/>
    <col min="12070" max="12070" width="50.33203125" style="646" customWidth="1"/>
    <col min="12071" max="12071" width="50" style="646" customWidth="1"/>
    <col min="12072" max="12072" width="45" style="646" customWidth="1"/>
    <col min="12073" max="12073" width="50" style="646" customWidth="1"/>
    <col min="12074" max="12074" width="51" style="646" customWidth="1"/>
    <col min="12075" max="12287" width="9.33203125" style="646"/>
    <col min="12288" max="12288" width="186.33203125" style="646" customWidth="1"/>
    <col min="12289" max="12289" width="49.83203125" style="646" customWidth="1"/>
    <col min="12290" max="12290" width="38.33203125" style="646" customWidth="1"/>
    <col min="12291" max="12292" width="50" style="646" customWidth="1"/>
    <col min="12293" max="12293" width="37.6640625" style="646" customWidth="1"/>
    <col min="12294" max="12295" width="50" style="646" customWidth="1"/>
    <col min="12296" max="12296" width="38.1640625" style="646" customWidth="1"/>
    <col min="12297" max="12298" width="50" style="646" customWidth="1"/>
    <col min="12299" max="12299" width="38.33203125" style="646" customWidth="1"/>
    <col min="12300" max="12301" width="50" style="646" customWidth="1"/>
    <col min="12302" max="12302" width="38.33203125" style="646" customWidth="1"/>
    <col min="12303" max="12303" width="50" style="646" customWidth="1"/>
    <col min="12304" max="12304" width="186.33203125" style="646" customWidth="1"/>
    <col min="12305" max="12305" width="50" style="646" customWidth="1"/>
    <col min="12306" max="12306" width="38.33203125" style="646" customWidth="1"/>
    <col min="12307" max="12308" width="49.83203125" style="646" customWidth="1"/>
    <col min="12309" max="12309" width="38.1640625" style="646" customWidth="1"/>
    <col min="12310" max="12310" width="49.83203125" style="646" customWidth="1"/>
    <col min="12311" max="12311" width="50" style="646" customWidth="1"/>
    <col min="12312" max="12312" width="38.33203125" style="646" customWidth="1"/>
    <col min="12313" max="12314" width="49.83203125" style="646" customWidth="1"/>
    <col min="12315" max="12315" width="38.1640625" style="646" customWidth="1"/>
    <col min="12316" max="12317" width="50" style="646" customWidth="1"/>
    <col min="12318" max="12318" width="38.33203125" style="646" customWidth="1"/>
    <col min="12319" max="12319" width="50" style="646" customWidth="1"/>
    <col min="12320" max="12320" width="186.33203125" style="646" customWidth="1"/>
    <col min="12321" max="12321" width="50" style="646" customWidth="1"/>
    <col min="12322" max="12322" width="38.33203125" style="646" customWidth="1"/>
    <col min="12323" max="12323" width="49.83203125" style="646" customWidth="1"/>
    <col min="12324" max="12324" width="50" style="646" customWidth="1"/>
    <col min="12325" max="12325" width="45" style="646" customWidth="1"/>
    <col min="12326" max="12326" width="50.33203125" style="646" customWidth="1"/>
    <col min="12327" max="12327" width="50" style="646" customWidth="1"/>
    <col min="12328" max="12328" width="45" style="646" customWidth="1"/>
    <col min="12329" max="12329" width="50" style="646" customWidth="1"/>
    <col min="12330" max="12330" width="51" style="646" customWidth="1"/>
    <col min="12331" max="12543" width="9.33203125" style="646"/>
    <col min="12544" max="12544" width="186.33203125" style="646" customWidth="1"/>
    <col min="12545" max="12545" width="49.83203125" style="646" customWidth="1"/>
    <col min="12546" max="12546" width="38.33203125" style="646" customWidth="1"/>
    <col min="12547" max="12548" width="50" style="646" customWidth="1"/>
    <col min="12549" max="12549" width="37.6640625" style="646" customWidth="1"/>
    <col min="12550" max="12551" width="50" style="646" customWidth="1"/>
    <col min="12552" max="12552" width="38.1640625" style="646" customWidth="1"/>
    <col min="12553" max="12554" width="50" style="646" customWidth="1"/>
    <col min="12555" max="12555" width="38.33203125" style="646" customWidth="1"/>
    <col min="12556" max="12557" width="50" style="646" customWidth="1"/>
    <col min="12558" max="12558" width="38.33203125" style="646" customWidth="1"/>
    <col min="12559" max="12559" width="50" style="646" customWidth="1"/>
    <col min="12560" max="12560" width="186.33203125" style="646" customWidth="1"/>
    <col min="12561" max="12561" width="50" style="646" customWidth="1"/>
    <col min="12562" max="12562" width="38.33203125" style="646" customWidth="1"/>
    <col min="12563" max="12564" width="49.83203125" style="646" customWidth="1"/>
    <col min="12565" max="12565" width="38.1640625" style="646" customWidth="1"/>
    <col min="12566" max="12566" width="49.83203125" style="646" customWidth="1"/>
    <col min="12567" max="12567" width="50" style="646" customWidth="1"/>
    <col min="12568" max="12568" width="38.33203125" style="646" customWidth="1"/>
    <col min="12569" max="12570" width="49.83203125" style="646" customWidth="1"/>
    <col min="12571" max="12571" width="38.1640625" style="646" customWidth="1"/>
    <col min="12572" max="12573" width="50" style="646" customWidth="1"/>
    <col min="12574" max="12574" width="38.33203125" style="646" customWidth="1"/>
    <col min="12575" max="12575" width="50" style="646" customWidth="1"/>
    <col min="12576" max="12576" width="186.33203125" style="646" customWidth="1"/>
    <col min="12577" max="12577" width="50" style="646" customWidth="1"/>
    <col min="12578" max="12578" width="38.33203125" style="646" customWidth="1"/>
    <col min="12579" max="12579" width="49.83203125" style="646" customWidth="1"/>
    <col min="12580" max="12580" width="50" style="646" customWidth="1"/>
    <col min="12581" max="12581" width="45" style="646" customWidth="1"/>
    <col min="12582" max="12582" width="50.33203125" style="646" customWidth="1"/>
    <col min="12583" max="12583" width="50" style="646" customWidth="1"/>
    <col min="12584" max="12584" width="45" style="646" customWidth="1"/>
    <col min="12585" max="12585" width="50" style="646" customWidth="1"/>
    <col min="12586" max="12586" width="51" style="646" customWidth="1"/>
    <col min="12587" max="12799" width="9.33203125" style="646"/>
    <col min="12800" max="12800" width="186.33203125" style="646" customWidth="1"/>
    <col min="12801" max="12801" width="49.83203125" style="646" customWidth="1"/>
    <col min="12802" max="12802" width="38.33203125" style="646" customWidth="1"/>
    <col min="12803" max="12804" width="50" style="646" customWidth="1"/>
    <col min="12805" max="12805" width="37.6640625" style="646" customWidth="1"/>
    <col min="12806" max="12807" width="50" style="646" customWidth="1"/>
    <col min="12808" max="12808" width="38.1640625" style="646" customWidth="1"/>
    <col min="12809" max="12810" width="50" style="646" customWidth="1"/>
    <col min="12811" max="12811" width="38.33203125" style="646" customWidth="1"/>
    <col min="12812" max="12813" width="50" style="646" customWidth="1"/>
    <col min="12814" max="12814" width="38.33203125" style="646" customWidth="1"/>
    <col min="12815" max="12815" width="50" style="646" customWidth="1"/>
    <col min="12816" max="12816" width="186.33203125" style="646" customWidth="1"/>
    <col min="12817" max="12817" width="50" style="646" customWidth="1"/>
    <col min="12818" max="12818" width="38.33203125" style="646" customWidth="1"/>
    <col min="12819" max="12820" width="49.83203125" style="646" customWidth="1"/>
    <col min="12821" max="12821" width="38.1640625" style="646" customWidth="1"/>
    <col min="12822" max="12822" width="49.83203125" style="646" customWidth="1"/>
    <col min="12823" max="12823" width="50" style="646" customWidth="1"/>
    <col min="12824" max="12824" width="38.33203125" style="646" customWidth="1"/>
    <col min="12825" max="12826" width="49.83203125" style="646" customWidth="1"/>
    <col min="12827" max="12827" width="38.1640625" style="646" customWidth="1"/>
    <col min="12828" max="12829" width="50" style="646" customWidth="1"/>
    <col min="12830" max="12830" width="38.33203125" style="646" customWidth="1"/>
    <col min="12831" max="12831" width="50" style="646" customWidth="1"/>
    <col min="12832" max="12832" width="186.33203125" style="646" customWidth="1"/>
    <col min="12833" max="12833" width="50" style="646" customWidth="1"/>
    <col min="12834" max="12834" width="38.33203125" style="646" customWidth="1"/>
    <col min="12835" max="12835" width="49.83203125" style="646" customWidth="1"/>
    <col min="12836" max="12836" width="50" style="646" customWidth="1"/>
    <col min="12837" max="12837" width="45" style="646" customWidth="1"/>
    <col min="12838" max="12838" width="50.33203125" style="646" customWidth="1"/>
    <col min="12839" max="12839" width="50" style="646" customWidth="1"/>
    <col min="12840" max="12840" width="45" style="646" customWidth="1"/>
    <col min="12841" max="12841" width="50" style="646" customWidth="1"/>
    <col min="12842" max="12842" width="51" style="646" customWidth="1"/>
    <col min="12843" max="13055" width="9.33203125" style="646"/>
    <col min="13056" max="13056" width="186.33203125" style="646" customWidth="1"/>
    <col min="13057" max="13057" width="49.83203125" style="646" customWidth="1"/>
    <col min="13058" max="13058" width="38.33203125" style="646" customWidth="1"/>
    <col min="13059" max="13060" width="50" style="646" customWidth="1"/>
    <col min="13061" max="13061" width="37.6640625" style="646" customWidth="1"/>
    <col min="13062" max="13063" width="50" style="646" customWidth="1"/>
    <col min="13064" max="13064" width="38.1640625" style="646" customWidth="1"/>
    <col min="13065" max="13066" width="50" style="646" customWidth="1"/>
    <col min="13067" max="13067" width="38.33203125" style="646" customWidth="1"/>
    <col min="13068" max="13069" width="50" style="646" customWidth="1"/>
    <col min="13070" max="13070" width="38.33203125" style="646" customWidth="1"/>
    <col min="13071" max="13071" width="50" style="646" customWidth="1"/>
    <col min="13072" max="13072" width="186.33203125" style="646" customWidth="1"/>
    <col min="13073" max="13073" width="50" style="646" customWidth="1"/>
    <col min="13074" max="13074" width="38.33203125" style="646" customWidth="1"/>
    <col min="13075" max="13076" width="49.83203125" style="646" customWidth="1"/>
    <col min="13077" max="13077" width="38.1640625" style="646" customWidth="1"/>
    <col min="13078" max="13078" width="49.83203125" style="646" customWidth="1"/>
    <col min="13079" max="13079" width="50" style="646" customWidth="1"/>
    <col min="13080" max="13080" width="38.33203125" style="646" customWidth="1"/>
    <col min="13081" max="13082" width="49.83203125" style="646" customWidth="1"/>
    <col min="13083" max="13083" width="38.1640625" style="646" customWidth="1"/>
    <col min="13084" max="13085" width="50" style="646" customWidth="1"/>
    <col min="13086" max="13086" width="38.33203125" style="646" customWidth="1"/>
    <col min="13087" max="13087" width="50" style="646" customWidth="1"/>
    <col min="13088" max="13088" width="186.33203125" style="646" customWidth="1"/>
    <col min="13089" max="13089" width="50" style="646" customWidth="1"/>
    <col min="13090" max="13090" width="38.33203125" style="646" customWidth="1"/>
    <col min="13091" max="13091" width="49.83203125" style="646" customWidth="1"/>
    <col min="13092" max="13092" width="50" style="646" customWidth="1"/>
    <col min="13093" max="13093" width="45" style="646" customWidth="1"/>
    <col min="13094" max="13094" width="50.33203125" style="646" customWidth="1"/>
    <col min="13095" max="13095" width="50" style="646" customWidth="1"/>
    <col min="13096" max="13096" width="45" style="646" customWidth="1"/>
    <col min="13097" max="13097" width="50" style="646" customWidth="1"/>
    <col min="13098" max="13098" width="51" style="646" customWidth="1"/>
    <col min="13099" max="13311" width="9.33203125" style="646"/>
    <col min="13312" max="13312" width="186.33203125" style="646" customWidth="1"/>
    <col min="13313" max="13313" width="49.83203125" style="646" customWidth="1"/>
    <col min="13314" max="13314" width="38.33203125" style="646" customWidth="1"/>
    <col min="13315" max="13316" width="50" style="646" customWidth="1"/>
    <col min="13317" max="13317" width="37.6640625" style="646" customWidth="1"/>
    <col min="13318" max="13319" width="50" style="646" customWidth="1"/>
    <col min="13320" max="13320" width="38.1640625" style="646" customWidth="1"/>
    <col min="13321" max="13322" width="50" style="646" customWidth="1"/>
    <col min="13323" max="13323" width="38.33203125" style="646" customWidth="1"/>
    <col min="13324" max="13325" width="50" style="646" customWidth="1"/>
    <col min="13326" max="13326" width="38.33203125" style="646" customWidth="1"/>
    <col min="13327" max="13327" width="50" style="646" customWidth="1"/>
    <col min="13328" max="13328" width="186.33203125" style="646" customWidth="1"/>
    <col min="13329" max="13329" width="50" style="646" customWidth="1"/>
    <col min="13330" max="13330" width="38.33203125" style="646" customWidth="1"/>
    <col min="13331" max="13332" width="49.83203125" style="646" customWidth="1"/>
    <col min="13333" max="13333" width="38.1640625" style="646" customWidth="1"/>
    <col min="13334" max="13334" width="49.83203125" style="646" customWidth="1"/>
    <col min="13335" max="13335" width="50" style="646" customWidth="1"/>
    <col min="13336" max="13336" width="38.33203125" style="646" customWidth="1"/>
    <col min="13337" max="13338" width="49.83203125" style="646" customWidth="1"/>
    <col min="13339" max="13339" width="38.1640625" style="646" customWidth="1"/>
    <col min="13340" max="13341" width="50" style="646" customWidth="1"/>
    <col min="13342" max="13342" width="38.33203125" style="646" customWidth="1"/>
    <col min="13343" max="13343" width="50" style="646" customWidth="1"/>
    <col min="13344" max="13344" width="186.33203125" style="646" customWidth="1"/>
    <col min="13345" max="13345" width="50" style="646" customWidth="1"/>
    <col min="13346" max="13346" width="38.33203125" style="646" customWidth="1"/>
    <col min="13347" max="13347" width="49.83203125" style="646" customWidth="1"/>
    <col min="13348" max="13348" width="50" style="646" customWidth="1"/>
    <col min="13349" max="13349" width="45" style="646" customWidth="1"/>
    <col min="13350" max="13350" width="50.33203125" style="646" customWidth="1"/>
    <col min="13351" max="13351" width="50" style="646" customWidth="1"/>
    <col min="13352" max="13352" width="45" style="646" customWidth="1"/>
    <col min="13353" max="13353" width="50" style="646" customWidth="1"/>
    <col min="13354" max="13354" width="51" style="646" customWidth="1"/>
    <col min="13355" max="13567" width="9.33203125" style="646"/>
    <col min="13568" max="13568" width="186.33203125" style="646" customWidth="1"/>
    <col min="13569" max="13569" width="49.83203125" style="646" customWidth="1"/>
    <col min="13570" max="13570" width="38.33203125" style="646" customWidth="1"/>
    <col min="13571" max="13572" width="50" style="646" customWidth="1"/>
    <col min="13573" max="13573" width="37.6640625" style="646" customWidth="1"/>
    <col min="13574" max="13575" width="50" style="646" customWidth="1"/>
    <col min="13576" max="13576" width="38.1640625" style="646" customWidth="1"/>
    <col min="13577" max="13578" width="50" style="646" customWidth="1"/>
    <col min="13579" max="13579" width="38.33203125" style="646" customWidth="1"/>
    <col min="13580" max="13581" width="50" style="646" customWidth="1"/>
    <col min="13582" max="13582" width="38.33203125" style="646" customWidth="1"/>
    <col min="13583" max="13583" width="50" style="646" customWidth="1"/>
    <col min="13584" max="13584" width="186.33203125" style="646" customWidth="1"/>
    <col min="13585" max="13585" width="50" style="646" customWidth="1"/>
    <col min="13586" max="13586" width="38.33203125" style="646" customWidth="1"/>
    <col min="13587" max="13588" width="49.83203125" style="646" customWidth="1"/>
    <col min="13589" max="13589" width="38.1640625" style="646" customWidth="1"/>
    <col min="13590" max="13590" width="49.83203125" style="646" customWidth="1"/>
    <col min="13591" max="13591" width="50" style="646" customWidth="1"/>
    <col min="13592" max="13592" width="38.33203125" style="646" customWidth="1"/>
    <col min="13593" max="13594" width="49.83203125" style="646" customWidth="1"/>
    <col min="13595" max="13595" width="38.1640625" style="646" customWidth="1"/>
    <col min="13596" max="13597" width="50" style="646" customWidth="1"/>
    <col min="13598" max="13598" width="38.33203125" style="646" customWidth="1"/>
    <col min="13599" max="13599" width="50" style="646" customWidth="1"/>
    <col min="13600" max="13600" width="186.33203125" style="646" customWidth="1"/>
    <col min="13601" max="13601" width="50" style="646" customWidth="1"/>
    <col min="13602" max="13602" width="38.33203125" style="646" customWidth="1"/>
    <col min="13603" max="13603" width="49.83203125" style="646" customWidth="1"/>
    <col min="13604" max="13604" width="50" style="646" customWidth="1"/>
    <col min="13605" max="13605" width="45" style="646" customWidth="1"/>
    <col min="13606" max="13606" width="50.33203125" style="646" customWidth="1"/>
    <col min="13607" max="13607" width="50" style="646" customWidth="1"/>
    <col min="13608" max="13608" width="45" style="646" customWidth="1"/>
    <col min="13609" max="13609" width="50" style="646" customWidth="1"/>
    <col min="13610" max="13610" width="51" style="646" customWidth="1"/>
    <col min="13611" max="13823" width="9.33203125" style="646"/>
    <col min="13824" max="13824" width="186.33203125" style="646" customWidth="1"/>
    <col min="13825" max="13825" width="49.83203125" style="646" customWidth="1"/>
    <col min="13826" max="13826" width="38.33203125" style="646" customWidth="1"/>
    <col min="13827" max="13828" width="50" style="646" customWidth="1"/>
    <col min="13829" max="13829" width="37.6640625" style="646" customWidth="1"/>
    <col min="13830" max="13831" width="50" style="646" customWidth="1"/>
    <col min="13832" max="13832" width="38.1640625" style="646" customWidth="1"/>
    <col min="13833" max="13834" width="50" style="646" customWidth="1"/>
    <col min="13835" max="13835" width="38.33203125" style="646" customWidth="1"/>
    <col min="13836" max="13837" width="50" style="646" customWidth="1"/>
    <col min="13838" max="13838" width="38.33203125" style="646" customWidth="1"/>
    <col min="13839" max="13839" width="50" style="646" customWidth="1"/>
    <col min="13840" max="13840" width="186.33203125" style="646" customWidth="1"/>
    <col min="13841" max="13841" width="50" style="646" customWidth="1"/>
    <col min="13842" max="13842" width="38.33203125" style="646" customWidth="1"/>
    <col min="13843" max="13844" width="49.83203125" style="646" customWidth="1"/>
    <col min="13845" max="13845" width="38.1640625" style="646" customWidth="1"/>
    <col min="13846" max="13846" width="49.83203125" style="646" customWidth="1"/>
    <col min="13847" max="13847" width="50" style="646" customWidth="1"/>
    <col min="13848" max="13848" width="38.33203125" style="646" customWidth="1"/>
    <col min="13849" max="13850" width="49.83203125" style="646" customWidth="1"/>
    <col min="13851" max="13851" width="38.1640625" style="646" customWidth="1"/>
    <col min="13852" max="13853" width="50" style="646" customWidth="1"/>
    <col min="13854" max="13854" width="38.33203125" style="646" customWidth="1"/>
    <col min="13855" max="13855" width="50" style="646" customWidth="1"/>
    <col min="13856" max="13856" width="186.33203125" style="646" customWidth="1"/>
    <col min="13857" max="13857" width="50" style="646" customWidth="1"/>
    <col min="13858" max="13858" width="38.33203125" style="646" customWidth="1"/>
    <col min="13859" max="13859" width="49.83203125" style="646" customWidth="1"/>
    <col min="13860" max="13860" width="50" style="646" customWidth="1"/>
    <col min="13861" max="13861" width="45" style="646" customWidth="1"/>
    <col min="13862" max="13862" width="50.33203125" style="646" customWidth="1"/>
    <col min="13863" max="13863" width="50" style="646" customWidth="1"/>
    <col min="13864" max="13864" width="45" style="646" customWidth="1"/>
    <col min="13865" max="13865" width="50" style="646" customWidth="1"/>
    <col min="13866" max="13866" width="51" style="646" customWidth="1"/>
    <col min="13867" max="14079" width="9.33203125" style="646"/>
    <col min="14080" max="14080" width="186.33203125" style="646" customWidth="1"/>
    <col min="14081" max="14081" width="49.83203125" style="646" customWidth="1"/>
    <col min="14082" max="14082" width="38.33203125" style="646" customWidth="1"/>
    <col min="14083" max="14084" width="50" style="646" customWidth="1"/>
    <col min="14085" max="14085" width="37.6640625" style="646" customWidth="1"/>
    <col min="14086" max="14087" width="50" style="646" customWidth="1"/>
    <col min="14088" max="14088" width="38.1640625" style="646" customWidth="1"/>
    <col min="14089" max="14090" width="50" style="646" customWidth="1"/>
    <col min="14091" max="14091" width="38.33203125" style="646" customWidth="1"/>
    <col min="14092" max="14093" width="50" style="646" customWidth="1"/>
    <col min="14094" max="14094" width="38.33203125" style="646" customWidth="1"/>
    <col min="14095" max="14095" width="50" style="646" customWidth="1"/>
    <col min="14096" max="14096" width="186.33203125" style="646" customWidth="1"/>
    <col min="14097" max="14097" width="50" style="646" customWidth="1"/>
    <col min="14098" max="14098" width="38.33203125" style="646" customWidth="1"/>
    <col min="14099" max="14100" width="49.83203125" style="646" customWidth="1"/>
    <col min="14101" max="14101" width="38.1640625" style="646" customWidth="1"/>
    <col min="14102" max="14102" width="49.83203125" style="646" customWidth="1"/>
    <col min="14103" max="14103" width="50" style="646" customWidth="1"/>
    <col min="14104" max="14104" width="38.33203125" style="646" customWidth="1"/>
    <col min="14105" max="14106" width="49.83203125" style="646" customWidth="1"/>
    <col min="14107" max="14107" width="38.1640625" style="646" customWidth="1"/>
    <col min="14108" max="14109" width="50" style="646" customWidth="1"/>
    <col min="14110" max="14110" width="38.33203125" style="646" customWidth="1"/>
    <col min="14111" max="14111" width="50" style="646" customWidth="1"/>
    <col min="14112" max="14112" width="186.33203125" style="646" customWidth="1"/>
    <col min="14113" max="14113" width="50" style="646" customWidth="1"/>
    <col min="14114" max="14114" width="38.33203125" style="646" customWidth="1"/>
    <col min="14115" max="14115" width="49.83203125" style="646" customWidth="1"/>
    <col min="14116" max="14116" width="50" style="646" customWidth="1"/>
    <col min="14117" max="14117" width="45" style="646" customWidth="1"/>
    <col min="14118" max="14118" width="50.33203125" style="646" customWidth="1"/>
    <col min="14119" max="14119" width="50" style="646" customWidth="1"/>
    <col min="14120" max="14120" width="45" style="646" customWidth="1"/>
    <col min="14121" max="14121" width="50" style="646" customWidth="1"/>
    <col min="14122" max="14122" width="51" style="646" customWidth="1"/>
    <col min="14123" max="14335" width="9.33203125" style="646"/>
    <col min="14336" max="14336" width="186.33203125" style="646" customWidth="1"/>
    <col min="14337" max="14337" width="49.83203125" style="646" customWidth="1"/>
    <col min="14338" max="14338" width="38.33203125" style="646" customWidth="1"/>
    <col min="14339" max="14340" width="50" style="646" customWidth="1"/>
    <col min="14341" max="14341" width="37.6640625" style="646" customWidth="1"/>
    <col min="14342" max="14343" width="50" style="646" customWidth="1"/>
    <col min="14344" max="14344" width="38.1640625" style="646" customWidth="1"/>
    <col min="14345" max="14346" width="50" style="646" customWidth="1"/>
    <col min="14347" max="14347" width="38.33203125" style="646" customWidth="1"/>
    <col min="14348" max="14349" width="50" style="646" customWidth="1"/>
    <col min="14350" max="14350" width="38.33203125" style="646" customWidth="1"/>
    <col min="14351" max="14351" width="50" style="646" customWidth="1"/>
    <col min="14352" max="14352" width="186.33203125" style="646" customWidth="1"/>
    <col min="14353" max="14353" width="50" style="646" customWidth="1"/>
    <col min="14354" max="14354" width="38.33203125" style="646" customWidth="1"/>
    <col min="14355" max="14356" width="49.83203125" style="646" customWidth="1"/>
    <col min="14357" max="14357" width="38.1640625" style="646" customWidth="1"/>
    <col min="14358" max="14358" width="49.83203125" style="646" customWidth="1"/>
    <col min="14359" max="14359" width="50" style="646" customWidth="1"/>
    <col min="14360" max="14360" width="38.33203125" style="646" customWidth="1"/>
    <col min="14361" max="14362" width="49.83203125" style="646" customWidth="1"/>
    <col min="14363" max="14363" width="38.1640625" style="646" customWidth="1"/>
    <col min="14364" max="14365" width="50" style="646" customWidth="1"/>
    <col min="14366" max="14366" width="38.33203125" style="646" customWidth="1"/>
    <col min="14367" max="14367" width="50" style="646" customWidth="1"/>
    <col min="14368" max="14368" width="186.33203125" style="646" customWidth="1"/>
    <col min="14369" max="14369" width="50" style="646" customWidth="1"/>
    <col min="14370" max="14370" width="38.33203125" style="646" customWidth="1"/>
    <col min="14371" max="14371" width="49.83203125" style="646" customWidth="1"/>
    <col min="14372" max="14372" width="50" style="646" customWidth="1"/>
    <col min="14373" max="14373" width="45" style="646" customWidth="1"/>
    <col min="14374" max="14374" width="50.33203125" style="646" customWidth="1"/>
    <col min="14375" max="14375" width="50" style="646" customWidth="1"/>
    <col min="14376" max="14376" width="45" style="646" customWidth="1"/>
    <col min="14377" max="14377" width="50" style="646" customWidth="1"/>
    <col min="14378" max="14378" width="51" style="646" customWidth="1"/>
    <col min="14379" max="14591" width="9.33203125" style="646"/>
    <col min="14592" max="14592" width="186.33203125" style="646" customWidth="1"/>
    <col min="14593" max="14593" width="49.83203125" style="646" customWidth="1"/>
    <col min="14594" max="14594" width="38.33203125" style="646" customWidth="1"/>
    <col min="14595" max="14596" width="50" style="646" customWidth="1"/>
    <col min="14597" max="14597" width="37.6640625" style="646" customWidth="1"/>
    <col min="14598" max="14599" width="50" style="646" customWidth="1"/>
    <col min="14600" max="14600" width="38.1640625" style="646" customWidth="1"/>
    <col min="14601" max="14602" width="50" style="646" customWidth="1"/>
    <col min="14603" max="14603" width="38.33203125" style="646" customWidth="1"/>
    <col min="14604" max="14605" width="50" style="646" customWidth="1"/>
    <col min="14606" max="14606" width="38.33203125" style="646" customWidth="1"/>
    <col min="14607" max="14607" width="50" style="646" customWidth="1"/>
    <col min="14608" max="14608" width="186.33203125" style="646" customWidth="1"/>
    <col min="14609" max="14609" width="50" style="646" customWidth="1"/>
    <col min="14610" max="14610" width="38.33203125" style="646" customWidth="1"/>
    <col min="14611" max="14612" width="49.83203125" style="646" customWidth="1"/>
    <col min="14613" max="14613" width="38.1640625" style="646" customWidth="1"/>
    <col min="14614" max="14614" width="49.83203125" style="646" customWidth="1"/>
    <col min="14615" max="14615" width="50" style="646" customWidth="1"/>
    <col min="14616" max="14616" width="38.33203125" style="646" customWidth="1"/>
    <col min="14617" max="14618" width="49.83203125" style="646" customWidth="1"/>
    <col min="14619" max="14619" width="38.1640625" style="646" customWidth="1"/>
    <col min="14620" max="14621" width="50" style="646" customWidth="1"/>
    <col min="14622" max="14622" width="38.33203125" style="646" customWidth="1"/>
    <col min="14623" max="14623" width="50" style="646" customWidth="1"/>
    <col min="14624" max="14624" width="186.33203125" style="646" customWidth="1"/>
    <col min="14625" max="14625" width="50" style="646" customWidth="1"/>
    <col min="14626" max="14626" width="38.33203125" style="646" customWidth="1"/>
    <col min="14627" max="14627" width="49.83203125" style="646" customWidth="1"/>
    <col min="14628" max="14628" width="50" style="646" customWidth="1"/>
    <col min="14629" max="14629" width="45" style="646" customWidth="1"/>
    <col min="14630" max="14630" width="50.33203125" style="646" customWidth="1"/>
    <col min="14631" max="14631" width="50" style="646" customWidth="1"/>
    <col min="14632" max="14632" width="45" style="646" customWidth="1"/>
    <col min="14633" max="14633" width="50" style="646" customWidth="1"/>
    <col min="14634" max="14634" width="51" style="646" customWidth="1"/>
    <col min="14635" max="14847" width="9.33203125" style="646"/>
    <col min="14848" max="14848" width="186.33203125" style="646" customWidth="1"/>
    <col min="14849" max="14849" width="49.83203125" style="646" customWidth="1"/>
    <col min="14850" max="14850" width="38.33203125" style="646" customWidth="1"/>
    <col min="14851" max="14852" width="50" style="646" customWidth="1"/>
    <col min="14853" max="14853" width="37.6640625" style="646" customWidth="1"/>
    <col min="14854" max="14855" width="50" style="646" customWidth="1"/>
    <col min="14856" max="14856" width="38.1640625" style="646" customWidth="1"/>
    <col min="14857" max="14858" width="50" style="646" customWidth="1"/>
    <col min="14859" max="14859" width="38.33203125" style="646" customWidth="1"/>
    <col min="14860" max="14861" width="50" style="646" customWidth="1"/>
    <col min="14862" max="14862" width="38.33203125" style="646" customWidth="1"/>
    <col min="14863" max="14863" width="50" style="646" customWidth="1"/>
    <col min="14864" max="14864" width="186.33203125" style="646" customWidth="1"/>
    <col min="14865" max="14865" width="50" style="646" customWidth="1"/>
    <col min="14866" max="14866" width="38.33203125" style="646" customWidth="1"/>
    <col min="14867" max="14868" width="49.83203125" style="646" customWidth="1"/>
    <col min="14869" max="14869" width="38.1640625" style="646" customWidth="1"/>
    <col min="14870" max="14870" width="49.83203125" style="646" customWidth="1"/>
    <col min="14871" max="14871" width="50" style="646" customWidth="1"/>
    <col min="14872" max="14872" width="38.33203125" style="646" customWidth="1"/>
    <col min="14873" max="14874" width="49.83203125" style="646" customWidth="1"/>
    <col min="14875" max="14875" width="38.1640625" style="646" customWidth="1"/>
    <col min="14876" max="14877" width="50" style="646" customWidth="1"/>
    <col min="14878" max="14878" width="38.33203125" style="646" customWidth="1"/>
    <col min="14879" max="14879" width="50" style="646" customWidth="1"/>
    <col min="14880" max="14880" width="186.33203125" style="646" customWidth="1"/>
    <col min="14881" max="14881" width="50" style="646" customWidth="1"/>
    <col min="14882" max="14882" width="38.33203125" style="646" customWidth="1"/>
    <col min="14883" max="14883" width="49.83203125" style="646" customWidth="1"/>
    <col min="14884" max="14884" width="50" style="646" customWidth="1"/>
    <col min="14885" max="14885" width="45" style="646" customWidth="1"/>
    <col min="14886" max="14886" width="50.33203125" style="646" customWidth="1"/>
    <col min="14887" max="14887" width="50" style="646" customWidth="1"/>
    <col min="14888" max="14888" width="45" style="646" customWidth="1"/>
    <col min="14889" max="14889" width="50" style="646" customWidth="1"/>
    <col min="14890" max="14890" width="51" style="646" customWidth="1"/>
    <col min="14891" max="15103" width="9.33203125" style="646"/>
    <col min="15104" max="15104" width="186.33203125" style="646" customWidth="1"/>
    <col min="15105" max="15105" width="49.83203125" style="646" customWidth="1"/>
    <col min="15106" max="15106" width="38.33203125" style="646" customWidth="1"/>
    <col min="15107" max="15108" width="50" style="646" customWidth="1"/>
    <col min="15109" max="15109" width="37.6640625" style="646" customWidth="1"/>
    <col min="15110" max="15111" width="50" style="646" customWidth="1"/>
    <col min="15112" max="15112" width="38.1640625" style="646" customWidth="1"/>
    <col min="15113" max="15114" width="50" style="646" customWidth="1"/>
    <col min="15115" max="15115" width="38.33203125" style="646" customWidth="1"/>
    <col min="15116" max="15117" width="50" style="646" customWidth="1"/>
    <col min="15118" max="15118" width="38.33203125" style="646" customWidth="1"/>
    <col min="15119" max="15119" width="50" style="646" customWidth="1"/>
    <col min="15120" max="15120" width="186.33203125" style="646" customWidth="1"/>
    <col min="15121" max="15121" width="50" style="646" customWidth="1"/>
    <col min="15122" max="15122" width="38.33203125" style="646" customWidth="1"/>
    <col min="15123" max="15124" width="49.83203125" style="646" customWidth="1"/>
    <col min="15125" max="15125" width="38.1640625" style="646" customWidth="1"/>
    <col min="15126" max="15126" width="49.83203125" style="646" customWidth="1"/>
    <col min="15127" max="15127" width="50" style="646" customWidth="1"/>
    <col min="15128" max="15128" width="38.33203125" style="646" customWidth="1"/>
    <col min="15129" max="15130" width="49.83203125" style="646" customWidth="1"/>
    <col min="15131" max="15131" width="38.1640625" style="646" customWidth="1"/>
    <col min="15132" max="15133" width="50" style="646" customWidth="1"/>
    <col min="15134" max="15134" width="38.33203125" style="646" customWidth="1"/>
    <col min="15135" max="15135" width="50" style="646" customWidth="1"/>
    <col min="15136" max="15136" width="186.33203125" style="646" customWidth="1"/>
    <col min="15137" max="15137" width="50" style="646" customWidth="1"/>
    <col min="15138" max="15138" width="38.33203125" style="646" customWidth="1"/>
    <col min="15139" max="15139" width="49.83203125" style="646" customWidth="1"/>
    <col min="15140" max="15140" width="50" style="646" customWidth="1"/>
    <col min="15141" max="15141" width="45" style="646" customWidth="1"/>
    <col min="15142" max="15142" width="50.33203125" style="646" customWidth="1"/>
    <col min="15143" max="15143" width="50" style="646" customWidth="1"/>
    <col min="15144" max="15144" width="45" style="646" customWidth="1"/>
    <col min="15145" max="15145" width="50" style="646" customWidth="1"/>
    <col min="15146" max="15146" width="51" style="646" customWidth="1"/>
    <col min="15147" max="15359" width="9.33203125" style="646"/>
    <col min="15360" max="15360" width="186.33203125" style="646" customWidth="1"/>
    <col min="15361" max="15361" width="49.83203125" style="646" customWidth="1"/>
    <col min="15362" max="15362" width="38.33203125" style="646" customWidth="1"/>
    <col min="15363" max="15364" width="50" style="646" customWidth="1"/>
    <col min="15365" max="15365" width="37.6640625" style="646" customWidth="1"/>
    <col min="15366" max="15367" width="50" style="646" customWidth="1"/>
    <col min="15368" max="15368" width="38.1640625" style="646" customWidth="1"/>
    <col min="15369" max="15370" width="50" style="646" customWidth="1"/>
    <col min="15371" max="15371" width="38.33203125" style="646" customWidth="1"/>
    <col min="15372" max="15373" width="50" style="646" customWidth="1"/>
    <col min="15374" max="15374" width="38.33203125" style="646" customWidth="1"/>
    <col min="15375" max="15375" width="50" style="646" customWidth="1"/>
    <col min="15376" max="15376" width="186.33203125" style="646" customWidth="1"/>
    <col min="15377" max="15377" width="50" style="646" customWidth="1"/>
    <col min="15378" max="15378" width="38.33203125" style="646" customWidth="1"/>
    <col min="15379" max="15380" width="49.83203125" style="646" customWidth="1"/>
    <col min="15381" max="15381" width="38.1640625" style="646" customWidth="1"/>
    <col min="15382" max="15382" width="49.83203125" style="646" customWidth="1"/>
    <col min="15383" max="15383" width="50" style="646" customWidth="1"/>
    <col min="15384" max="15384" width="38.33203125" style="646" customWidth="1"/>
    <col min="15385" max="15386" width="49.83203125" style="646" customWidth="1"/>
    <col min="15387" max="15387" width="38.1640625" style="646" customWidth="1"/>
    <col min="15388" max="15389" width="50" style="646" customWidth="1"/>
    <col min="15390" max="15390" width="38.33203125" style="646" customWidth="1"/>
    <col min="15391" max="15391" width="50" style="646" customWidth="1"/>
    <col min="15392" max="15392" width="186.33203125" style="646" customWidth="1"/>
    <col min="15393" max="15393" width="50" style="646" customWidth="1"/>
    <col min="15394" max="15394" width="38.33203125" style="646" customWidth="1"/>
    <col min="15395" max="15395" width="49.83203125" style="646" customWidth="1"/>
    <col min="15396" max="15396" width="50" style="646" customWidth="1"/>
    <col min="15397" max="15397" width="45" style="646" customWidth="1"/>
    <col min="15398" max="15398" width="50.33203125" style="646" customWidth="1"/>
    <col min="15399" max="15399" width="50" style="646" customWidth="1"/>
    <col min="15400" max="15400" width="45" style="646" customWidth="1"/>
    <col min="15401" max="15401" width="50" style="646" customWidth="1"/>
    <col min="15402" max="15402" width="51" style="646" customWidth="1"/>
    <col min="15403" max="15615" width="9.33203125" style="646"/>
    <col min="15616" max="15616" width="186.33203125" style="646" customWidth="1"/>
    <col min="15617" max="15617" width="49.83203125" style="646" customWidth="1"/>
    <col min="15618" max="15618" width="38.33203125" style="646" customWidth="1"/>
    <col min="15619" max="15620" width="50" style="646" customWidth="1"/>
    <col min="15621" max="15621" width="37.6640625" style="646" customWidth="1"/>
    <col min="15622" max="15623" width="50" style="646" customWidth="1"/>
    <col min="15624" max="15624" width="38.1640625" style="646" customWidth="1"/>
    <col min="15625" max="15626" width="50" style="646" customWidth="1"/>
    <col min="15627" max="15627" width="38.33203125" style="646" customWidth="1"/>
    <col min="15628" max="15629" width="50" style="646" customWidth="1"/>
    <col min="15630" max="15630" width="38.33203125" style="646" customWidth="1"/>
    <col min="15631" max="15631" width="50" style="646" customWidth="1"/>
    <col min="15632" max="15632" width="186.33203125" style="646" customWidth="1"/>
    <col min="15633" max="15633" width="50" style="646" customWidth="1"/>
    <col min="15634" max="15634" width="38.33203125" style="646" customWidth="1"/>
    <col min="15635" max="15636" width="49.83203125" style="646" customWidth="1"/>
    <col min="15637" max="15637" width="38.1640625" style="646" customWidth="1"/>
    <col min="15638" max="15638" width="49.83203125" style="646" customWidth="1"/>
    <col min="15639" max="15639" width="50" style="646" customWidth="1"/>
    <col min="15640" max="15640" width="38.33203125" style="646" customWidth="1"/>
    <col min="15641" max="15642" width="49.83203125" style="646" customWidth="1"/>
    <col min="15643" max="15643" width="38.1640625" style="646" customWidth="1"/>
    <col min="15644" max="15645" width="50" style="646" customWidth="1"/>
    <col min="15646" max="15646" width="38.33203125" style="646" customWidth="1"/>
    <col min="15647" max="15647" width="50" style="646" customWidth="1"/>
    <col min="15648" max="15648" width="186.33203125" style="646" customWidth="1"/>
    <col min="15649" max="15649" width="50" style="646" customWidth="1"/>
    <col min="15650" max="15650" width="38.33203125" style="646" customWidth="1"/>
    <col min="15651" max="15651" width="49.83203125" style="646" customWidth="1"/>
    <col min="15652" max="15652" width="50" style="646" customWidth="1"/>
    <col min="15653" max="15653" width="45" style="646" customWidth="1"/>
    <col min="15654" max="15654" width="50.33203125" style="646" customWidth="1"/>
    <col min="15655" max="15655" width="50" style="646" customWidth="1"/>
    <col min="15656" max="15656" width="45" style="646" customWidth="1"/>
    <col min="15657" max="15657" width="50" style="646" customWidth="1"/>
    <col min="15658" max="15658" width="51" style="646" customWidth="1"/>
    <col min="15659" max="15871" width="9.33203125" style="646"/>
    <col min="15872" max="15872" width="186.33203125" style="646" customWidth="1"/>
    <col min="15873" max="15873" width="49.83203125" style="646" customWidth="1"/>
    <col min="15874" max="15874" width="38.33203125" style="646" customWidth="1"/>
    <col min="15875" max="15876" width="50" style="646" customWidth="1"/>
    <col min="15877" max="15877" width="37.6640625" style="646" customWidth="1"/>
    <col min="15878" max="15879" width="50" style="646" customWidth="1"/>
    <col min="15880" max="15880" width="38.1640625" style="646" customWidth="1"/>
    <col min="15881" max="15882" width="50" style="646" customWidth="1"/>
    <col min="15883" max="15883" width="38.33203125" style="646" customWidth="1"/>
    <col min="15884" max="15885" width="50" style="646" customWidth="1"/>
    <col min="15886" max="15886" width="38.33203125" style="646" customWidth="1"/>
    <col min="15887" max="15887" width="50" style="646" customWidth="1"/>
    <col min="15888" max="15888" width="186.33203125" style="646" customWidth="1"/>
    <col min="15889" max="15889" width="50" style="646" customWidth="1"/>
    <col min="15890" max="15890" width="38.33203125" style="646" customWidth="1"/>
    <col min="15891" max="15892" width="49.83203125" style="646" customWidth="1"/>
    <col min="15893" max="15893" width="38.1640625" style="646" customWidth="1"/>
    <col min="15894" max="15894" width="49.83203125" style="646" customWidth="1"/>
    <col min="15895" max="15895" width="50" style="646" customWidth="1"/>
    <col min="15896" max="15896" width="38.33203125" style="646" customWidth="1"/>
    <col min="15897" max="15898" width="49.83203125" style="646" customWidth="1"/>
    <col min="15899" max="15899" width="38.1640625" style="646" customWidth="1"/>
    <col min="15900" max="15901" width="50" style="646" customWidth="1"/>
    <col min="15902" max="15902" width="38.33203125" style="646" customWidth="1"/>
    <col min="15903" max="15903" width="50" style="646" customWidth="1"/>
    <col min="15904" max="15904" width="186.33203125" style="646" customWidth="1"/>
    <col min="15905" max="15905" width="50" style="646" customWidth="1"/>
    <col min="15906" max="15906" width="38.33203125" style="646" customWidth="1"/>
    <col min="15907" max="15907" width="49.83203125" style="646" customWidth="1"/>
    <col min="15908" max="15908" width="50" style="646" customWidth="1"/>
    <col min="15909" max="15909" width="45" style="646" customWidth="1"/>
    <col min="15910" max="15910" width="50.33203125" style="646" customWidth="1"/>
    <col min="15911" max="15911" width="50" style="646" customWidth="1"/>
    <col min="15912" max="15912" width="45" style="646" customWidth="1"/>
    <col min="15913" max="15913" width="50" style="646" customWidth="1"/>
    <col min="15914" max="15914" width="51" style="646" customWidth="1"/>
    <col min="15915" max="16127" width="9.33203125" style="646"/>
    <col min="16128" max="16128" width="186.33203125" style="646" customWidth="1"/>
    <col min="16129" max="16129" width="49.83203125" style="646" customWidth="1"/>
    <col min="16130" max="16130" width="38.33203125" style="646" customWidth="1"/>
    <col min="16131" max="16132" width="50" style="646" customWidth="1"/>
    <col min="16133" max="16133" width="37.6640625" style="646" customWidth="1"/>
    <col min="16134" max="16135" width="50" style="646" customWidth="1"/>
    <col min="16136" max="16136" width="38.1640625" style="646" customWidth="1"/>
    <col min="16137" max="16138" width="50" style="646" customWidth="1"/>
    <col min="16139" max="16139" width="38.33203125" style="646" customWidth="1"/>
    <col min="16140" max="16141" width="50" style="646" customWidth="1"/>
    <col min="16142" max="16142" width="38.33203125" style="646" customWidth="1"/>
    <col min="16143" max="16143" width="50" style="646" customWidth="1"/>
    <col min="16144" max="16144" width="186.33203125" style="646" customWidth="1"/>
    <col min="16145" max="16145" width="50" style="646" customWidth="1"/>
    <col min="16146" max="16146" width="38.33203125" style="646" customWidth="1"/>
    <col min="16147" max="16148" width="49.83203125" style="646" customWidth="1"/>
    <col min="16149" max="16149" width="38.1640625" style="646" customWidth="1"/>
    <col min="16150" max="16150" width="49.83203125" style="646" customWidth="1"/>
    <col min="16151" max="16151" width="50" style="646" customWidth="1"/>
    <col min="16152" max="16152" width="38.33203125" style="646" customWidth="1"/>
    <col min="16153" max="16154" width="49.83203125" style="646" customWidth="1"/>
    <col min="16155" max="16155" width="38.1640625" style="646" customWidth="1"/>
    <col min="16156" max="16157" width="50" style="646" customWidth="1"/>
    <col min="16158" max="16158" width="38.33203125" style="646" customWidth="1"/>
    <col min="16159" max="16159" width="50" style="646" customWidth="1"/>
    <col min="16160" max="16160" width="186.33203125" style="646" customWidth="1"/>
    <col min="16161" max="16161" width="50" style="646" customWidth="1"/>
    <col min="16162" max="16162" width="38.33203125" style="646" customWidth="1"/>
    <col min="16163" max="16163" width="49.83203125" style="646" customWidth="1"/>
    <col min="16164" max="16164" width="50" style="646" customWidth="1"/>
    <col min="16165" max="16165" width="45" style="646" customWidth="1"/>
    <col min="16166" max="16166" width="50.33203125" style="646" customWidth="1"/>
    <col min="16167" max="16167" width="50" style="646" customWidth="1"/>
    <col min="16168" max="16168" width="45" style="646" customWidth="1"/>
    <col min="16169" max="16169" width="50" style="646" customWidth="1"/>
    <col min="16170" max="16170" width="51" style="646" customWidth="1"/>
    <col min="16171" max="16384" width="9.33203125" style="646"/>
  </cols>
  <sheetData>
    <row r="1" spans="1:42" ht="26.45" customHeight="1" x14ac:dyDescent="0.7">
      <c r="A1" s="643"/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3"/>
      <c r="R1" s="644"/>
      <c r="S1" s="644"/>
      <c r="T1" s="644"/>
      <c r="U1" s="644"/>
      <c r="V1" s="644"/>
      <c r="W1" s="644"/>
      <c r="X1" s="644"/>
      <c r="Y1" s="644"/>
      <c r="Z1" s="644"/>
      <c r="AA1" s="644"/>
      <c r="AB1" s="644"/>
      <c r="AC1" s="644"/>
      <c r="AD1" s="644"/>
      <c r="AE1" s="644"/>
      <c r="AF1" s="644"/>
      <c r="AG1" s="643"/>
      <c r="AH1" s="643"/>
      <c r="AI1" s="643"/>
      <c r="AJ1" s="643"/>
      <c r="AK1" s="643"/>
      <c r="AL1" s="643"/>
      <c r="AM1" s="645"/>
      <c r="AN1" s="645"/>
      <c r="AO1" s="645"/>
      <c r="AP1" s="644"/>
    </row>
    <row r="2" spans="1:42" ht="26.45" customHeight="1" x14ac:dyDescent="0.7">
      <c r="A2" s="643"/>
      <c r="B2" s="644"/>
      <c r="C2" s="644"/>
      <c r="D2" s="644"/>
      <c r="E2" s="644"/>
      <c r="F2" s="644"/>
      <c r="G2" s="644"/>
      <c r="H2" s="644"/>
      <c r="I2" s="644"/>
      <c r="J2" s="644"/>
      <c r="K2" s="644"/>
      <c r="L2" s="644"/>
      <c r="M2" s="644"/>
      <c r="N2" s="644"/>
      <c r="O2" s="644"/>
      <c r="P2" s="644"/>
      <c r="Q2" s="643"/>
      <c r="R2" s="644"/>
      <c r="S2" s="644"/>
      <c r="T2" s="644"/>
      <c r="U2" s="644"/>
      <c r="V2" s="644"/>
      <c r="W2" s="644"/>
      <c r="X2" s="644"/>
      <c r="Y2" s="644"/>
      <c r="Z2" s="644"/>
      <c r="AA2" s="644"/>
      <c r="AB2" s="644"/>
      <c r="AC2" s="644"/>
      <c r="AD2" s="644"/>
      <c r="AE2" s="644"/>
      <c r="AF2" s="644"/>
      <c r="AG2" s="643"/>
      <c r="AH2" s="643"/>
      <c r="AI2" s="643"/>
      <c r="AJ2" s="643"/>
      <c r="AK2" s="643"/>
      <c r="AL2" s="643"/>
      <c r="AM2" s="645"/>
      <c r="AN2" s="645"/>
      <c r="AO2" s="645"/>
      <c r="AP2" s="644"/>
    </row>
    <row r="3" spans="1:42" ht="54" customHeight="1" x14ac:dyDescent="0.7">
      <c r="A3" s="647"/>
      <c r="B3" s="903" t="s">
        <v>214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  <c r="M3" s="903"/>
      <c r="N3" s="903"/>
      <c r="O3" s="903"/>
      <c r="P3" s="903"/>
      <c r="Q3" s="643"/>
      <c r="R3" s="904" t="s">
        <v>214</v>
      </c>
      <c r="S3" s="904"/>
      <c r="T3" s="904"/>
      <c r="U3" s="904"/>
      <c r="V3" s="904"/>
      <c r="W3" s="904"/>
      <c r="X3" s="904"/>
      <c r="Y3" s="904"/>
      <c r="Z3" s="904"/>
      <c r="AA3" s="904"/>
      <c r="AB3" s="904"/>
      <c r="AC3" s="904"/>
      <c r="AD3" s="904"/>
      <c r="AE3" s="904"/>
      <c r="AF3" s="904"/>
      <c r="AG3" s="643"/>
      <c r="AH3" s="904" t="s">
        <v>214</v>
      </c>
      <c r="AI3" s="904"/>
      <c r="AJ3" s="904"/>
      <c r="AK3" s="904"/>
      <c r="AL3" s="904"/>
      <c r="AM3" s="904"/>
      <c r="AN3" s="904"/>
      <c r="AO3" s="904"/>
      <c r="AP3" s="904"/>
    </row>
    <row r="4" spans="1:42" ht="54" customHeight="1" x14ac:dyDescent="0.7">
      <c r="A4" s="647"/>
      <c r="B4" s="903" t="s">
        <v>595</v>
      </c>
      <c r="C4" s="903"/>
      <c r="D4" s="903"/>
      <c r="E4" s="903"/>
      <c r="F4" s="903"/>
      <c r="G4" s="903"/>
      <c r="H4" s="903"/>
      <c r="I4" s="903"/>
      <c r="J4" s="903"/>
      <c r="K4" s="903"/>
      <c r="L4" s="903"/>
      <c r="M4" s="903"/>
      <c r="N4" s="903"/>
      <c r="O4" s="903"/>
      <c r="P4" s="903"/>
      <c r="Q4" s="643"/>
      <c r="R4" s="904" t="s">
        <v>595</v>
      </c>
      <c r="S4" s="904"/>
      <c r="T4" s="904"/>
      <c r="U4" s="904"/>
      <c r="V4" s="904"/>
      <c r="W4" s="904"/>
      <c r="X4" s="904"/>
      <c r="Y4" s="904"/>
      <c r="Z4" s="904"/>
      <c r="AA4" s="904"/>
      <c r="AB4" s="904"/>
      <c r="AC4" s="904"/>
      <c r="AD4" s="904"/>
      <c r="AE4" s="904"/>
      <c r="AF4" s="904"/>
      <c r="AG4" s="643"/>
      <c r="AH4" s="904" t="s">
        <v>595</v>
      </c>
      <c r="AI4" s="904"/>
      <c r="AJ4" s="904"/>
      <c r="AK4" s="904"/>
      <c r="AL4" s="904"/>
      <c r="AM4" s="904"/>
      <c r="AN4" s="904"/>
      <c r="AO4" s="904"/>
      <c r="AP4" s="904"/>
    </row>
    <row r="5" spans="1:42" ht="42.75" customHeight="1" thickBot="1" x14ac:dyDescent="0.75">
      <c r="A5" s="643"/>
      <c r="B5" s="644"/>
      <c r="C5" s="644"/>
      <c r="D5" s="644"/>
      <c r="E5" s="644"/>
      <c r="F5" s="644"/>
      <c r="G5" s="644"/>
      <c r="H5" s="644"/>
      <c r="I5" s="644"/>
      <c r="J5" s="644"/>
      <c r="K5" s="644"/>
      <c r="L5" s="644"/>
      <c r="M5" s="644"/>
      <c r="N5" s="644"/>
      <c r="O5" s="644"/>
      <c r="P5" s="644" t="s">
        <v>206</v>
      </c>
      <c r="Q5" s="643"/>
      <c r="R5" s="644"/>
      <c r="S5" s="644"/>
      <c r="T5" s="644"/>
      <c r="U5" s="644"/>
      <c r="V5" s="644"/>
      <c r="W5" s="644"/>
      <c r="X5" s="644"/>
      <c r="Y5" s="644"/>
      <c r="Z5" s="644"/>
      <c r="AA5" s="644"/>
      <c r="AB5" s="644"/>
      <c r="AC5" s="644"/>
      <c r="AD5" s="644"/>
      <c r="AE5" s="644"/>
      <c r="AF5" s="644" t="s">
        <v>206</v>
      </c>
      <c r="AG5" s="643"/>
      <c r="AH5" s="643"/>
      <c r="AI5" s="643"/>
      <c r="AJ5" s="643"/>
      <c r="AK5" s="643"/>
      <c r="AL5" s="643"/>
      <c r="AM5" s="645"/>
      <c r="AN5" s="645"/>
      <c r="AO5" s="645"/>
      <c r="AP5" s="644" t="s">
        <v>206</v>
      </c>
    </row>
    <row r="6" spans="1:42" s="649" customFormat="1" ht="140.25" customHeight="1" x14ac:dyDescent="0.7">
      <c r="A6" s="648" t="s">
        <v>596</v>
      </c>
      <c r="B6" s="908" t="s">
        <v>50</v>
      </c>
      <c r="C6" s="909"/>
      <c r="D6" s="910"/>
      <c r="E6" s="905" t="s">
        <v>247</v>
      </c>
      <c r="F6" s="906"/>
      <c r="G6" s="907"/>
      <c r="H6" s="905" t="s">
        <v>597</v>
      </c>
      <c r="I6" s="906"/>
      <c r="J6" s="907"/>
      <c r="K6" s="908" t="s">
        <v>184</v>
      </c>
      <c r="L6" s="909"/>
      <c r="M6" s="910"/>
      <c r="N6" s="905" t="s">
        <v>224</v>
      </c>
      <c r="O6" s="906"/>
      <c r="P6" s="907"/>
      <c r="Q6" s="648" t="s">
        <v>596</v>
      </c>
      <c r="R6" s="908" t="s">
        <v>66</v>
      </c>
      <c r="S6" s="909"/>
      <c r="T6" s="910"/>
      <c r="U6" s="905" t="s">
        <v>67</v>
      </c>
      <c r="V6" s="906"/>
      <c r="W6" s="907"/>
      <c r="X6" s="905" t="s">
        <v>253</v>
      </c>
      <c r="Y6" s="906"/>
      <c r="Z6" s="907"/>
      <c r="AA6" s="905" t="s">
        <v>225</v>
      </c>
      <c r="AB6" s="906"/>
      <c r="AC6" s="907"/>
      <c r="AD6" s="905" t="s">
        <v>598</v>
      </c>
      <c r="AE6" s="906"/>
      <c r="AF6" s="907"/>
      <c r="AG6" s="648" t="s">
        <v>596</v>
      </c>
      <c r="AH6" s="905" t="s">
        <v>599</v>
      </c>
      <c r="AI6" s="906"/>
      <c r="AJ6" s="907"/>
      <c r="AK6" s="905" t="s">
        <v>600</v>
      </c>
      <c r="AL6" s="906"/>
      <c r="AM6" s="907"/>
      <c r="AN6" s="905" t="s">
        <v>601</v>
      </c>
      <c r="AO6" s="906"/>
      <c r="AP6" s="907"/>
    </row>
    <row r="7" spans="1:42" s="649" customFormat="1" ht="78.75" customHeight="1" thickBot="1" x14ac:dyDescent="0.75">
      <c r="A7" s="650" t="s">
        <v>602</v>
      </c>
      <c r="B7" s="911"/>
      <c r="C7" s="912"/>
      <c r="D7" s="913"/>
      <c r="E7" s="652"/>
      <c r="F7" s="653"/>
      <c r="G7" s="654"/>
      <c r="H7" s="652"/>
      <c r="I7" s="653"/>
      <c r="J7" s="654"/>
      <c r="K7" s="652"/>
      <c r="L7" s="653"/>
      <c r="M7" s="654"/>
      <c r="N7" s="911"/>
      <c r="O7" s="912"/>
      <c r="P7" s="913"/>
      <c r="Q7" s="650" t="s">
        <v>602</v>
      </c>
      <c r="R7" s="911"/>
      <c r="S7" s="912"/>
      <c r="T7" s="913"/>
      <c r="U7" s="651"/>
      <c r="V7" s="651"/>
      <c r="W7" s="651"/>
      <c r="X7" s="911"/>
      <c r="Y7" s="912"/>
      <c r="Z7" s="913"/>
      <c r="AA7" s="911"/>
      <c r="AB7" s="912"/>
      <c r="AC7" s="913"/>
      <c r="AD7" s="911"/>
      <c r="AE7" s="912"/>
      <c r="AF7" s="913"/>
      <c r="AG7" s="650" t="s">
        <v>602</v>
      </c>
      <c r="AH7" s="655"/>
      <c r="AI7" s="656"/>
      <c r="AJ7" s="657"/>
      <c r="AK7" s="911"/>
      <c r="AL7" s="912"/>
      <c r="AM7" s="913"/>
      <c r="AN7" s="911"/>
      <c r="AO7" s="912"/>
      <c r="AP7" s="913"/>
    </row>
    <row r="8" spans="1:42" s="660" customFormat="1" ht="147.75" customHeight="1" thickBot="1" x14ac:dyDescent="0.65">
      <c r="A8" s="658"/>
      <c r="B8" s="659" t="s">
        <v>603</v>
      </c>
      <c r="C8" s="659" t="s">
        <v>604</v>
      </c>
      <c r="D8" s="659" t="s">
        <v>605</v>
      </c>
      <c r="E8" s="659" t="s">
        <v>603</v>
      </c>
      <c r="F8" s="659" t="s">
        <v>604</v>
      </c>
      <c r="G8" s="659" t="s">
        <v>605</v>
      </c>
      <c r="H8" s="659" t="s">
        <v>603</v>
      </c>
      <c r="I8" s="659" t="s">
        <v>604</v>
      </c>
      <c r="J8" s="659" t="s">
        <v>605</v>
      </c>
      <c r="K8" s="659" t="s">
        <v>603</v>
      </c>
      <c r="L8" s="659" t="s">
        <v>604</v>
      </c>
      <c r="M8" s="659" t="s">
        <v>605</v>
      </c>
      <c r="N8" s="659" t="s">
        <v>603</v>
      </c>
      <c r="O8" s="659" t="s">
        <v>604</v>
      </c>
      <c r="P8" s="659" t="s">
        <v>605</v>
      </c>
      <c r="Q8" s="658"/>
      <c r="R8" s="659" t="s">
        <v>603</v>
      </c>
      <c r="S8" s="659" t="s">
        <v>604</v>
      </c>
      <c r="T8" s="659" t="s">
        <v>605</v>
      </c>
      <c r="U8" s="659" t="s">
        <v>603</v>
      </c>
      <c r="V8" s="659" t="s">
        <v>604</v>
      </c>
      <c r="W8" s="659" t="s">
        <v>605</v>
      </c>
      <c r="X8" s="659" t="s">
        <v>603</v>
      </c>
      <c r="Y8" s="659" t="s">
        <v>604</v>
      </c>
      <c r="Z8" s="659" t="s">
        <v>605</v>
      </c>
      <c r="AA8" s="659" t="s">
        <v>603</v>
      </c>
      <c r="AB8" s="659" t="s">
        <v>604</v>
      </c>
      <c r="AC8" s="659" t="s">
        <v>605</v>
      </c>
      <c r="AD8" s="659" t="s">
        <v>603</v>
      </c>
      <c r="AE8" s="659" t="s">
        <v>604</v>
      </c>
      <c r="AF8" s="659" t="s">
        <v>605</v>
      </c>
      <c r="AG8" s="658"/>
      <c r="AH8" s="659" t="s">
        <v>603</v>
      </c>
      <c r="AI8" s="659" t="s">
        <v>604</v>
      </c>
      <c r="AJ8" s="659" t="s">
        <v>605</v>
      </c>
      <c r="AK8" s="659" t="s">
        <v>603</v>
      </c>
      <c r="AL8" s="659" t="s">
        <v>604</v>
      </c>
      <c r="AM8" s="659" t="s">
        <v>605</v>
      </c>
      <c r="AN8" s="659" t="s">
        <v>603</v>
      </c>
      <c r="AO8" s="659" t="s">
        <v>604</v>
      </c>
      <c r="AP8" s="659" t="s">
        <v>605</v>
      </c>
    </row>
    <row r="9" spans="1:42" ht="45.75" customHeight="1" x14ac:dyDescent="0.7">
      <c r="A9" s="661" t="s">
        <v>606</v>
      </c>
      <c r="B9" s="662" t="s">
        <v>12</v>
      </c>
      <c r="C9" s="662"/>
      <c r="D9" s="662"/>
      <c r="E9" s="662"/>
      <c r="F9" s="662"/>
      <c r="G9" s="662"/>
      <c r="H9" s="662"/>
      <c r="I9" s="662"/>
      <c r="J9" s="662"/>
      <c r="K9" s="662"/>
      <c r="L9" s="662"/>
      <c r="M9" s="662"/>
      <c r="N9" s="662"/>
      <c r="O9" s="662"/>
      <c r="P9" s="662"/>
      <c r="Q9" s="661" t="s">
        <v>606</v>
      </c>
      <c r="R9" s="662"/>
      <c r="S9" s="662"/>
      <c r="T9" s="662"/>
      <c r="U9" s="662"/>
      <c r="V9" s="662"/>
      <c r="W9" s="662"/>
      <c r="X9" s="662"/>
      <c r="Y9" s="662"/>
      <c r="Z9" s="662"/>
      <c r="AA9" s="662"/>
      <c r="AB9" s="662"/>
      <c r="AC9" s="662"/>
      <c r="AD9" s="662"/>
      <c r="AE9" s="662"/>
      <c r="AF9" s="662"/>
      <c r="AG9" s="661" t="s">
        <v>606</v>
      </c>
      <c r="AH9" s="661"/>
      <c r="AI9" s="661"/>
      <c r="AJ9" s="661"/>
      <c r="AK9" s="661"/>
      <c r="AL9" s="661"/>
      <c r="AM9" s="663"/>
      <c r="AN9" s="663"/>
      <c r="AO9" s="663"/>
      <c r="AP9" s="662"/>
    </row>
    <row r="10" spans="1:42" ht="48.75" customHeight="1" x14ac:dyDescent="0.7">
      <c r="A10" s="664" t="s">
        <v>607</v>
      </c>
      <c r="B10" s="665">
        <f>'[3]int.bevételek RM I'!D10</f>
        <v>1712</v>
      </c>
      <c r="C10" s="665">
        <v>452</v>
      </c>
      <c r="D10" s="665">
        <f t="shared" ref="D10:D27" si="0">SUM(B10:C10)</f>
        <v>2164</v>
      </c>
      <c r="E10" s="665">
        <f>'[3]int.bevételek RM I'!G10</f>
        <v>0</v>
      </c>
      <c r="F10" s="665"/>
      <c r="G10" s="665">
        <f t="shared" ref="G10:G27" si="1">SUM(E10:F10)</f>
        <v>0</v>
      </c>
      <c r="H10" s="665">
        <f>'[3]int.bevételek RM I'!J10</f>
        <v>0</v>
      </c>
      <c r="I10" s="665"/>
      <c r="J10" s="665">
        <f t="shared" ref="J10:J27" si="2">SUM(H10:I10)</f>
        <v>0</v>
      </c>
      <c r="K10" s="665">
        <f>'[3]int.bevételek RM I'!M10</f>
        <v>0</v>
      </c>
      <c r="L10" s="665"/>
      <c r="M10" s="665">
        <f t="shared" ref="M10:M27" si="3">SUM(K10:L10)</f>
        <v>0</v>
      </c>
      <c r="N10" s="666">
        <f t="shared" ref="N10:P27" si="4">B10+E10+H10+K10</f>
        <v>1712</v>
      </c>
      <c r="O10" s="666">
        <f t="shared" si="4"/>
        <v>452</v>
      </c>
      <c r="P10" s="666">
        <f t="shared" si="4"/>
        <v>2164</v>
      </c>
      <c r="Q10" s="664" t="s">
        <v>607</v>
      </c>
      <c r="R10" s="665">
        <f>'[3]int.bevételek RM I'!T10</f>
        <v>0</v>
      </c>
      <c r="S10" s="665"/>
      <c r="T10" s="665">
        <f t="shared" ref="T10:T27" si="5">SUM(R10:S10)</f>
        <v>0</v>
      </c>
      <c r="U10" s="665">
        <f>'[3]int.bevételek RM I'!W10</f>
        <v>0</v>
      </c>
      <c r="V10" s="665"/>
      <c r="W10" s="665">
        <f>SUM(U10:V10)</f>
        <v>0</v>
      </c>
      <c r="X10" s="665">
        <f>'[3]int.bevételek RM I'!Z10</f>
        <v>0</v>
      </c>
      <c r="Y10" s="665"/>
      <c r="Z10" s="665">
        <f t="shared" ref="Z10:Z27" si="6">SUM(X10:Y10)</f>
        <v>0</v>
      </c>
      <c r="AA10" s="666">
        <f t="shared" ref="AA10:AC27" si="7">R10+U10+X10</f>
        <v>0</v>
      </c>
      <c r="AB10" s="666">
        <f t="shared" si="7"/>
        <v>0</v>
      </c>
      <c r="AC10" s="666">
        <f t="shared" si="7"/>
        <v>0</v>
      </c>
      <c r="AD10" s="666">
        <f>N10+AA10</f>
        <v>1712</v>
      </c>
      <c r="AE10" s="666">
        <f>O10+AB10</f>
        <v>452</v>
      </c>
      <c r="AF10" s="666">
        <f>P10+AC10</f>
        <v>2164</v>
      </c>
      <c r="AG10" s="664" t="s">
        <v>607</v>
      </c>
      <c r="AH10" s="665">
        <f>'[3]int.bevételek RM I'!AJ10</f>
        <v>0</v>
      </c>
      <c r="AI10" s="665">
        <f>'[3]int.bevételek RM II maradvány'!AI10</f>
        <v>2312</v>
      </c>
      <c r="AJ10" s="665">
        <f t="shared" ref="AJ10:AJ27" si="8">SUM(AH10:AI10)</f>
        <v>2312</v>
      </c>
      <c r="AK10" s="666">
        <f>'[3]int.bevételek RM I'!AM10</f>
        <v>274286</v>
      </c>
      <c r="AL10" s="666">
        <f>'[3]int.bevételek RM II maradvány'!AS10</f>
        <v>3503</v>
      </c>
      <c r="AM10" s="666">
        <f>SUM(AK10:AL10)</f>
        <v>277789</v>
      </c>
      <c r="AN10" s="666">
        <f t="shared" ref="AN10:AP27" si="9">N10+AA10+AH10+AK10</f>
        <v>275998</v>
      </c>
      <c r="AO10" s="666">
        <f t="shared" si="9"/>
        <v>6267</v>
      </c>
      <c r="AP10" s="666">
        <f t="shared" si="9"/>
        <v>282265</v>
      </c>
    </row>
    <row r="11" spans="1:42" ht="48.75" customHeight="1" x14ac:dyDescent="0.7">
      <c r="A11" s="667" t="s">
        <v>608</v>
      </c>
      <c r="B11" s="665">
        <f>'[3]int.bevételek RM I'!D11</f>
        <v>736</v>
      </c>
      <c r="C11" s="665"/>
      <c r="D11" s="665">
        <f t="shared" si="0"/>
        <v>736</v>
      </c>
      <c r="E11" s="665">
        <f>'[3]int.bevételek RM I'!G11</f>
        <v>0</v>
      </c>
      <c r="F11" s="665"/>
      <c r="G11" s="665">
        <f t="shared" si="1"/>
        <v>0</v>
      </c>
      <c r="H11" s="665">
        <f>'[3]int.bevételek RM I'!J11</f>
        <v>0</v>
      </c>
      <c r="I11" s="665"/>
      <c r="J11" s="665">
        <f t="shared" si="2"/>
        <v>0</v>
      </c>
      <c r="K11" s="665">
        <f>'[3]int.bevételek RM I'!M11</f>
        <v>0</v>
      </c>
      <c r="L11" s="665"/>
      <c r="M11" s="665">
        <f t="shared" si="3"/>
        <v>0</v>
      </c>
      <c r="N11" s="666">
        <f t="shared" si="4"/>
        <v>736</v>
      </c>
      <c r="O11" s="666">
        <f t="shared" si="4"/>
        <v>0</v>
      </c>
      <c r="P11" s="666">
        <f t="shared" si="4"/>
        <v>736</v>
      </c>
      <c r="Q11" s="667" t="s">
        <v>608</v>
      </c>
      <c r="R11" s="665">
        <f>'[3]int.bevételek RM I'!T11</f>
        <v>0</v>
      </c>
      <c r="S11" s="665"/>
      <c r="T11" s="665">
        <f t="shared" si="5"/>
        <v>0</v>
      </c>
      <c r="U11" s="665">
        <f>'[3]int.bevételek RM I'!W11</f>
        <v>0</v>
      </c>
      <c r="V11" s="665"/>
      <c r="W11" s="665">
        <f>SUM(U11:V11)</f>
        <v>0</v>
      </c>
      <c r="X11" s="665">
        <f>'[3]int.bevételek RM I'!Z11</f>
        <v>0</v>
      </c>
      <c r="Y11" s="665"/>
      <c r="Z11" s="665">
        <f t="shared" si="6"/>
        <v>0</v>
      </c>
      <c r="AA11" s="666">
        <f t="shared" si="7"/>
        <v>0</v>
      </c>
      <c r="AB11" s="666">
        <f t="shared" si="7"/>
        <v>0</v>
      </c>
      <c r="AC11" s="666">
        <f t="shared" si="7"/>
        <v>0</v>
      </c>
      <c r="AD11" s="666">
        <f t="shared" ref="AD11:AF37" si="10">N11+AA11</f>
        <v>736</v>
      </c>
      <c r="AE11" s="666">
        <f t="shared" si="10"/>
        <v>0</v>
      </c>
      <c r="AF11" s="666">
        <f t="shared" si="10"/>
        <v>736</v>
      </c>
      <c r="AG11" s="667" t="s">
        <v>608</v>
      </c>
      <c r="AH11" s="665">
        <f>'[3]int.bevételek RM I'!AJ11</f>
        <v>0</v>
      </c>
      <c r="AI11" s="665">
        <f>'[3]int.bevételek RM II maradvány'!AI11</f>
        <v>2747</v>
      </c>
      <c r="AJ11" s="665">
        <f t="shared" si="8"/>
        <v>2747</v>
      </c>
      <c r="AK11" s="666">
        <f>'[3]int.bevételek RM I'!AM11</f>
        <v>187998</v>
      </c>
      <c r="AL11" s="666">
        <f>'[3]int.bevételek RM II maradvány'!AS11</f>
        <v>2255</v>
      </c>
      <c r="AM11" s="666">
        <f t="shared" ref="AM11:AM27" si="11">SUM(AK11:AL11)</f>
        <v>190253</v>
      </c>
      <c r="AN11" s="666">
        <f t="shared" si="9"/>
        <v>188734</v>
      </c>
      <c r="AO11" s="666">
        <f t="shared" si="9"/>
        <v>5002</v>
      </c>
      <c r="AP11" s="666">
        <f t="shared" si="9"/>
        <v>193736</v>
      </c>
    </row>
    <row r="12" spans="1:42" ht="48.75" customHeight="1" x14ac:dyDescent="0.7">
      <c r="A12" s="667" t="s">
        <v>609</v>
      </c>
      <c r="B12" s="665">
        <f>'[3]int.bevételek RM I'!D12</f>
        <v>1320</v>
      </c>
      <c r="C12" s="665"/>
      <c r="D12" s="665">
        <f t="shared" si="0"/>
        <v>1320</v>
      </c>
      <c r="E12" s="665">
        <f>'[3]int.bevételek RM I'!G12</f>
        <v>0</v>
      </c>
      <c r="F12" s="665"/>
      <c r="G12" s="665">
        <f t="shared" si="1"/>
        <v>0</v>
      </c>
      <c r="H12" s="665">
        <f>'[3]int.bevételek RM I'!J12</f>
        <v>0</v>
      </c>
      <c r="I12" s="665"/>
      <c r="J12" s="665">
        <f t="shared" si="2"/>
        <v>0</v>
      </c>
      <c r="K12" s="665">
        <f>'[3]int.bevételek RM I'!M12</f>
        <v>0</v>
      </c>
      <c r="L12" s="665"/>
      <c r="M12" s="665">
        <f t="shared" si="3"/>
        <v>0</v>
      </c>
      <c r="N12" s="666">
        <f t="shared" si="4"/>
        <v>1320</v>
      </c>
      <c r="O12" s="666">
        <f t="shared" si="4"/>
        <v>0</v>
      </c>
      <c r="P12" s="666">
        <f t="shared" si="4"/>
        <v>1320</v>
      </c>
      <c r="Q12" s="667" t="s">
        <v>609</v>
      </c>
      <c r="R12" s="665">
        <f>'[3]int.bevételek RM I'!T12</f>
        <v>0</v>
      </c>
      <c r="S12" s="665"/>
      <c r="T12" s="665">
        <f t="shared" si="5"/>
        <v>0</v>
      </c>
      <c r="U12" s="665">
        <f>'[3]int.bevételek RM I'!W12</f>
        <v>0</v>
      </c>
      <c r="V12" s="665"/>
      <c r="W12" s="665">
        <f t="shared" ref="W12:W23" si="12">SUM(U12:V12)</f>
        <v>0</v>
      </c>
      <c r="X12" s="665">
        <f>'[3]int.bevételek RM I'!Z12</f>
        <v>0</v>
      </c>
      <c r="Y12" s="665"/>
      <c r="Z12" s="665">
        <f t="shared" si="6"/>
        <v>0</v>
      </c>
      <c r="AA12" s="666">
        <f t="shared" si="7"/>
        <v>0</v>
      </c>
      <c r="AB12" s="666">
        <f t="shared" si="7"/>
        <v>0</v>
      </c>
      <c r="AC12" s="666">
        <f t="shared" si="7"/>
        <v>0</v>
      </c>
      <c r="AD12" s="666">
        <f t="shared" si="10"/>
        <v>1320</v>
      </c>
      <c r="AE12" s="666">
        <f t="shared" si="10"/>
        <v>0</v>
      </c>
      <c r="AF12" s="666">
        <f t="shared" si="10"/>
        <v>1320</v>
      </c>
      <c r="AG12" s="667" t="s">
        <v>609</v>
      </c>
      <c r="AH12" s="665">
        <f>'[3]int.bevételek RM I'!AJ12</f>
        <v>0</v>
      </c>
      <c r="AI12" s="665">
        <f>'[3]int.bevételek RM II maradvány'!AI12</f>
        <v>2786</v>
      </c>
      <c r="AJ12" s="665">
        <f t="shared" si="8"/>
        <v>2786</v>
      </c>
      <c r="AK12" s="666">
        <f>'[3]int.bevételek RM I'!AM12</f>
        <v>198404</v>
      </c>
      <c r="AL12" s="666">
        <f>'[3]int.bevételek RM II maradvány'!AS12</f>
        <v>3980</v>
      </c>
      <c r="AM12" s="666">
        <f t="shared" si="11"/>
        <v>202384</v>
      </c>
      <c r="AN12" s="666">
        <f t="shared" si="9"/>
        <v>199724</v>
      </c>
      <c r="AO12" s="666">
        <f t="shared" si="9"/>
        <v>6766</v>
      </c>
      <c r="AP12" s="666">
        <f t="shared" si="9"/>
        <v>206490</v>
      </c>
    </row>
    <row r="13" spans="1:42" ht="48.75" customHeight="1" x14ac:dyDescent="0.7">
      <c r="A13" s="667" t="s">
        <v>610</v>
      </c>
      <c r="B13" s="665">
        <f>'[3]int.bevételek RM I'!D13</f>
        <v>1224</v>
      </c>
      <c r="C13" s="665"/>
      <c r="D13" s="665">
        <f t="shared" si="0"/>
        <v>1224</v>
      </c>
      <c r="E13" s="665">
        <f>'[3]int.bevételek RM I'!G13</f>
        <v>0</v>
      </c>
      <c r="F13" s="665"/>
      <c r="G13" s="665">
        <f t="shared" si="1"/>
        <v>0</v>
      </c>
      <c r="H13" s="665">
        <f>'[3]int.bevételek RM I'!J13</f>
        <v>0</v>
      </c>
      <c r="I13" s="665"/>
      <c r="J13" s="665">
        <f t="shared" si="2"/>
        <v>0</v>
      </c>
      <c r="K13" s="665">
        <f>'[3]int.bevételek RM I'!M13</f>
        <v>0</v>
      </c>
      <c r="L13" s="665"/>
      <c r="M13" s="665">
        <f t="shared" si="3"/>
        <v>0</v>
      </c>
      <c r="N13" s="666">
        <f t="shared" si="4"/>
        <v>1224</v>
      </c>
      <c r="O13" s="666">
        <f t="shared" si="4"/>
        <v>0</v>
      </c>
      <c r="P13" s="666">
        <f t="shared" si="4"/>
        <v>1224</v>
      </c>
      <c r="Q13" s="667" t="s">
        <v>610</v>
      </c>
      <c r="R13" s="665">
        <f>'[3]int.bevételek RM I'!T13</f>
        <v>0</v>
      </c>
      <c r="S13" s="665"/>
      <c r="T13" s="665">
        <f t="shared" si="5"/>
        <v>0</v>
      </c>
      <c r="U13" s="665">
        <f>'[3]int.bevételek RM I'!W13</f>
        <v>0</v>
      </c>
      <c r="V13" s="665"/>
      <c r="W13" s="665">
        <f t="shared" si="12"/>
        <v>0</v>
      </c>
      <c r="X13" s="665">
        <f>'[3]int.bevételek RM I'!Z13</f>
        <v>0</v>
      </c>
      <c r="Y13" s="665"/>
      <c r="Z13" s="665">
        <f t="shared" si="6"/>
        <v>0</v>
      </c>
      <c r="AA13" s="666">
        <f t="shared" si="7"/>
        <v>0</v>
      </c>
      <c r="AB13" s="666">
        <f t="shared" si="7"/>
        <v>0</v>
      </c>
      <c r="AC13" s="666">
        <f t="shared" si="7"/>
        <v>0</v>
      </c>
      <c r="AD13" s="666">
        <f t="shared" si="10"/>
        <v>1224</v>
      </c>
      <c r="AE13" s="666">
        <f t="shared" si="10"/>
        <v>0</v>
      </c>
      <c r="AF13" s="666">
        <f t="shared" si="10"/>
        <v>1224</v>
      </c>
      <c r="AG13" s="667" t="s">
        <v>610</v>
      </c>
      <c r="AH13" s="665">
        <f>'[3]int.bevételek RM I'!AJ13</f>
        <v>0</v>
      </c>
      <c r="AI13" s="665">
        <f>'[3]int.bevételek RM II maradvány'!AI13</f>
        <v>2178</v>
      </c>
      <c r="AJ13" s="665">
        <f t="shared" si="8"/>
        <v>2178</v>
      </c>
      <c r="AK13" s="666">
        <f>'[3]int.bevételek RM I'!AM13</f>
        <v>239897</v>
      </c>
      <c r="AL13" s="666">
        <f>'[3]int.bevételek RM II maradvány'!AS13</f>
        <v>1802</v>
      </c>
      <c r="AM13" s="666">
        <f t="shared" si="11"/>
        <v>241699</v>
      </c>
      <c r="AN13" s="666">
        <f t="shared" si="9"/>
        <v>241121</v>
      </c>
      <c r="AO13" s="666">
        <f t="shared" si="9"/>
        <v>3980</v>
      </c>
      <c r="AP13" s="666">
        <f t="shared" si="9"/>
        <v>245101</v>
      </c>
    </row>
    <row r="14" spans="1:42" ht="48.75" customHeight="1" x14ac:dyDescent="0.7">
      <c r="A14" s="667" t="s">
        <v>611</v>
      </c>
      <c r="B14" s="665">
        <f>'[3]int.bevételek RM I'!D14</f>
        <v>1016</v>
      </c>
      <c r="C14" s="665"/>
      <c r="D14" s="665">
        <f t="shared" si="0"/>
        <v>1016</v>
      </c>
      <c r="E14" s="665">
        <f>'[3]int.bevételek RM I'!G14</f>
        <v>0</v>
      </c>
      <c r="F14" s="665"/>
      <c r="G14" s="665">
        <f t="shared" si="1"/>
        <v>0</v>
      </c>
      <c r="H14" s="665">
        <f>'[3]int.bevételek RM I'!J14</f>
        <v>0</v>
      </c>
      <c r="I14" s="665"/>
      <c r="J14" s="665">
        <f t="shared" si="2"/>
        <v>0</v>
      </c>
      <c r="K14" s="665">
        <f>'[3]int.bevételek RM I'!M14</f>
        <v>0</v>
      </c>
      <c r="L14" s="665"/>
      <c r="M14" s="665">
        <f t="shared" si="3"/>
        <v>0</v>
      </c>
      <c r="N14" s="666">
        <f t="shared" si="4"/>
        <v>1016</v>
      </c>
      <c r="O14" s="666">
        <f t="shared" si="4"/>
        <v>0</v>
      </c>
      <c r="P14" s="666">
        <f t="shared" si="4"/>
        <v>1016</v>
      </c>
      <c r="Q14" s="667" t="s">
        <v>611</v>
      </c>
      <c r="R14" s="665">
        <f>'[3]int.bevételek RM I'!T14</f>
        <v>0</v>
      </c>
      <c r="S14" s="665"/>
      <c r="T14" s="665">
        <f t="shared" si="5"/>
        <v>0</v>
      </c>
      <c r="U14" s="665">
        <f>'[3]int.bevételek RM I'!W14</f>
        <v>0</v>
      </c>
      <c r="V14" s="665"/>
      <c r="W14" s="665">
        <f t="shared" si="12"/>
        <v>0</v>
      </c>
      <c r="X14" s="665">
        <f>'[3]int.bevételek RM I'!Z14</f>
        <v>0</v>
      </c>
      <c r="Y14" s="665"/>
      <c r="Z14" s="665">
        <f t="shared" si="6"/>
        <v>0</v>
      </c>
      <c r="AA14" s="666">
        <f t="shared" si="7"/>
        <v>0</v>
      </c>
      <c r="AB14" s="666">
        <f t="shared" si="7"/>
        <v>0</v>
      </c>
      <c r="AC14" s="666">
        <f t="shared" si="7"/>
        <v>0</v>
      </c>
      <c r="AD14" s="666">
        <f t="shared" si="10"/>
        <v>1016</v>
      </c>
      <c r="AE14" s="666">
        <f t="shared" si="10"/>
        <v>0</v>
      </c>
      <c r="AF14" s="666">
        <f t="shared" si="10"/>
        <v>1016</v>
      </c>
      <c r="AG14" s="667" t="s">
        <v>611</v>
      </c>
      <c r="AH14" s="665">
        <f>'[3]int.bevételek RM I'!AJ14</f>
        <v>0</v>
      </c>
      <c r="AI14" s="665">
        <f>'[3]int.bevételek RM II maradvány'!AI14</f>
        <v>1134</v>
      </c>
      <c r="AJ14" s="665">
        <f t="shared" si="8"/>
        <v>1134</v>
      </c>
      <c r="AK14" s="666">
        <f>'[3]int.bevételek RM I'!AM14</f>
        <v>227264</v>
      </c>
      <c r="AL14" s="666">
        <f>'[3]int.bevételek RM II maradvány'!AS14</f>
        <v>1704</v>
      </c>
      <c r="AM14" s="666">
        <f t="shared" si="11"/>
        <v>228968</v>
      </c>
      <c r="AN14" s="666">
        <f t="shared" si="9"/>
        <v>228280</v>
      </c>
      <c r="AO14" s="666">
        <f t="shared" si="9"/>
        <v>2838</v>
      </c>
      <c r="AP14" s="666">
        <f t="shared" si="9"/>
        <v>231118</v>
      </c>
    </row>
    <row r="15" spans="1:42" ht="48.75" customHeight="1" x14ac:dyDescent="0.7">
      <c r="A15" s="667" t="s">
        <v>612</v>
      </c>
      <c r="B15" s="665">
        <f>'[3]int.bevételek RM I'!D15</f>
        <v>1304</v>
      </c>
      <c r="C15" s="665"/>
      <c r="D15" s="665">
        <f t="shared" si="0"/>
        <v>1304</v>
      </c>
      <c r="E15" s="665">
        <f>'[3]int.bevételek RM I'!G15</f>
        <v>0</v>
      </c>
      <c r="F15" s="665"/>
      <c r="G15" s="665">
        <f t="shared" si="1"/>
        <v>0</v>
      </c>
      <c r="H15" s="665">
        <f>'[3]int.bevételek RM I'!J15</f>
        <v>0</v>
      </c>
      <c r="I15" s="665">
        <v>381</v>
      </c>
      <c r="J15" s="665">
        <f t="shared" si="2"/>
        <v>381</v>
      </c>
      <c r="K15" s="665">
        <f>'[3]int.bevételek RM I'!M15</f>
        <v>0</v>
      </c>
      <c r="L15" s="665"/>
      <c r="M15" s="665">
        <f t="shared" si="3"/>
        <v>0</v>
      </c>
      <c r="N15" s="666">
        <f t="shared" si="4"/>
        <v>1304</v>
      </c>
      <c r="O15" s="666">
        <f t="shared" si="4"/>
        <v>381</v>
      </c>
      <c r="P15" s="666">
        <f t="shared" si="4"/>
        <v>1685</v>
      </c>
      <c r="Q15" s="667" t="s">
        <v>612</v>
      </c>
      <c r="R15" s="665">
        <f>'[3]int.bevételek RM I'!T15</f>
        <v>0</v>
      </c>
      <c r="S15" s="665"/>
      <c r="T15" s="665">
        <f t="shared" si="5"/>
        <v>0</v>
      </c>
      <c r="U15" s="665">
        <f>'[3]int.bevételek RM I'!W15</f>
        <v>0</v>
      </c>
      <c r="V15" s="665"/>
      <c r="W15" s="665">
        <f t="shared" si="12"/>
        <v>0</v>
      </c>
      <c r="X15" s="665">
        <f>'[3]int.bevételek RM I'!Z15</f>
        <v>0</v>
      </c>
      <c r="Y15" s="665"/>
      <c r="Z15" s="665">
        <f t="shared" si="6"/>
        <v>0</v>
      </c>
      <c r="AA15" s="666">
        <f t="shared" si="7"/>
        <v>0</v>
      </c>
      <c r="AB15" s="666">
        <f t="shared" si="7"/>
        <v>0</v>
      </c>
      <c r="AC15" s="666">
        <f t="shared" si="7"/>
        <v>0</v>
      </c>
      <c r="AD15" s="666">
        <f t="shared" si="10"/>
        <v>1304</v>
      </c>
      <c r="AE15" s="666">
        <f t="shared" si="10"/>
        <v>381</v>
      </c>
      <c r="AF15" s="666">
        <f t="shared" si="10"/>
        <v>1685</v>
      </c>
      <c r="AG15" s="667" t="s">
        <v>612</v>
      </c>
      <c r="AH15" s="665">
        <f>'[3]int.bevételek RM I'!AJ15</f>
        <v>0</v>
      </c>
      <c r="AI15" s="665">
        <f>'[3]int.bevételek RM II maradvány'!AI15</f>
        <v>2103</v>
      </c>
      <c r="AJ15" s="665">
        <f t="shared" si="8"/>
        <v>2103</v>
      </c>
      <c r="AK15" s="666">
        <f>'[3]int.bevételek RM I'!AM15</f>
        <v>205975</v>
      </c>
      <c r="AL15" s="666">
        <f>'[3]int.bevételek RM II maradvány'!AS15</f>
        <v>3677</v>
      </c>
      <c r="AM15" s="666">
        <f t="shared" si="11"/>
        <v>209652</v>
      </c>
      <c r="AN15" s="666">
        <f t="shared" si="9"/>
        <v>207279</v>
      </c>
      <c r="AO15" s="666">
        <f t="shared" si="9"/>
        <v>6161</v>
      </c>
      <c r="AP15" s="666">
        <f t="shared" si="9"/>
        <v>213440</v>
      </c>
    </row>
    <row r="16" spans="1:42" ht="48.75" customHeight="1" x14ac:dyDescent="0.7">
      <c r="A16" s="667" t="s">
        <v>613</v>
      </c>
      <c r="B16" s="665">
        <f>'[3]int.bevételek RM I'!D16</f>
        <v>1560</v>
      </c>
      <c r="C16" s="665"/>
      <c r="D16" s="665">
        <f t="shared" si="0"/>
        <v>1560</v>
      </c>
      <c r="E16" s="665">
        <f>'[3]int.bevételek RM I'!G16</f>
        <v>0</v>
      </c>
      <c r="F16" s="665"/>
      <c r="G16" s="665">
        <f t="shared" si="1"/>
        <v>0</v>
      </c>
      <c r="H16" s="665">
        <f>'[3]int.bevételek RM I'!J16</f>
        <v>0</v>
      </c>
      <c r="I16" s="665"/>
      <c r="J16" s="665">
        <f t="shared" si="2"/>
        <v>0</v>
      </c>
      <c r="K16" s="665">
        <f>'[3]int.bevételek RM I'!M16</f>
        <v>0</v>
      </c>
      <c r="L16" s="665"/>
      <c r="M16" s="665">
        <f t="shared" si="3"/>
        <v>0</v>
      </c>
      <c r="N16" s="666">
        <f t="shared" si="4"/>
        <v>1560</v>
      </c>
      <c r="O16" s="666">
        <f t="shared" si="4"/>
        <v>0</v>
      </c>
      <c r="P16" s="666">
        <f t="shared" si="4"/>
        <v>1560</v>
      </c>
      <c r="Q16" s="667" t="s">
        <v>614</v>
      </c>
      <c r="R16" s="665">
        <f>'[3]int.bevételek RM I'!T16</f>
        <v>0</v>
      </c>
      <c r="S16" s="665"/>
      <c r="T16" s="665">
        <f t="shared" si="5"/>
        <v>0</v>
      </c>
      <c r="U16" s="665">
        <f>'[3]int.bevételek RM I'!W16</f>
        <v>0</v>
      </c>
      <c r="V16" s="665"/>
      <c r="W16" s="665">
        <f t="shared" si="12"/>
        <v>0</v>
      </c>
      <c r="X16" s="665">
        <f>'[3]int.bevételek RM I'!Z16</f>
        <v>0</v>
      </c>
      <c r="Y16" s="665"/>
      <c r="Z16" s="665">
        <f t="shared" si="6"/>
        <v>0</v>
      </c>
      <c r="AA16" s="666">
        <f t="shared" si="7"/>
        <v>0</v>
      </c>
      <c r="AB16" s="666">
        <f t="shared" si="7"/>
        <v>0</v>
      </c>
      <c r="AC16" s="666">
        <f t="shared" si="7"/>
        <v>0</v>
      </c>
      <c r="AD16" s="666">
        <f t="shared" si="10"/>
        <v>1560</v>
      </c>
      <c r="AE16" s="666">
        <f t="shared" si="10"/>
        <v>0</v>
      </c>
      <c r="AF16" s="666">
        <f t="shared" si="10"/>
        <v>1560</v>
      </c>
      <c r="AG16" s="667" t="s">
        <v>614</v>
      </c>
      <c r="AH16" s="665">
        <f>'[3]int.bevételek RM I'!AJ16</f>
        <v>0</v>
      </c>
      <c r="AI16" s="665">
        <f>'[3]int.bevételek RM II maradvány'!AI16</f>
        <v>1185</v>
      </c>
      <c r="AJ16" s="665">
        <f t="shared" si="8"/>
        <v>1185</v>
      </c>
      <c r="AK16" s="666">
        <f>'[3]int.bevételek RM I'!AM16</f>
        <v>156466</v>
      </c>
      <c r="AL16" s="666">
        <f>'[3]int.bevételek RM II maradvány'!AS16</f>
        <v>1272</v>
      </c>
      <c r="AM16" s="666">
        <f t="shared" si="11"/>
        <v>157738</v>
      </c>
      <c r="AN16" s="666">
        <f t="shared" si="9"/>
        <v>158026</v>
      </c>
      <c r="AO16" s="666">
        <f t="shared" si="9"/>
        <v>2457</v>
      </c>
      <c r="AP16" s="666">
        <f t="shared" si="9"/>
        <v>160483</v>
      </c>
    </row>
    <row r="17" spans="1:42" ht="48.75" customHeight="1" x14ac:dyDescent="0.7">
      <c r="A17" s="667" t="s">
        <v>615</v>
      </c>
      <c r="B17" s="665">
        <f>'[3]int.bevételek RM I'!D17</f>
        <v>1216</v>
      </c>
      <c r="C17" s="665"/>
      <c r="D17" s="665">
        <f t="shared" si="0"/>
        <v>1216</v>
      </c>
      <c r="E17" s="665">
        <f>'[3]int.bevételek RM I'!G17</f>
        <v>0</v>
      </c>
      <c r="F17" s="665"/>
      <c r="G17" s="665">
        <f t="shared" si="1"/>
        <v>0</v>
      </c>
      <c r="H17" s="665">
        <f>'[3]int.bevételek RM I'!J17</f>
        <v>0</v>
      </c>
      <c r="I17" s="665"/>
      <c r="J17" s="665">
        <f t="shared" si="2"/>
        <v>0</v>
      </c>
      <c r="K17" s="665">
        <f>'[3]int.bevételek RM I'!M17</f>
        <v>0</v>
      </c>
      <c r="L17" s="665"/>
      <c r="M17" s="665">
        <f t="shared" si="3"/>
        <v>0</v>
      </c>
      <c r="N17" s="666">
        <f t="shared" si="4"/>
        <v>1216</v>
      </c>
      <c r="O17" s="666">
        <f t="shared" si="4"/>
        <v>0</v>
      </c>
      <c r="P17" s="666">
        <f t="shared" si="4"/>
        <v>1216</v>
      </c>
      <c r="Q17" s="667" t="s">
        <v>615</v>
      </c>
      <c r="R17" s="665">
        <f>'[3]int.bevételek RM I'!T17</f>
        <v>0</v>
      </c>
      <c r="S17" s="665"/>
      <c r="T17" s="665">
        <f t="shared" si="5"/>
        <v>0</v>
      </c>
      <c r="U17" s="665">
        <f>'[3]int.bevételek RM I'!W17</f>
        <v>0</v>
      </c>
      <c r="V17" s="665"/>
      <c r="W17" s="665">
        <f t="shared" si="12"/>
        <v>0</v>
      </c>
      <c r="X17" s="665">
        <f>'[3]int.bevételek RM I'!Z17</f>
        <v>0</v>
      </c>
      <c r="Y17" s="665"/>
      <c r="Z17" s="665">
        <f t="shared" si="6"/>
        <v>0</v>
      </c>
      <c r="AA17" s="666">
        <f t="shared" si="7"/>
        <v>0</v>
      </c>
      <c r="AB17" s="666">
        <f t="shared" si="7"/>
        <v>0</v>
      </c>
      <c r="AC17" s="666">
        <f t="shared" si="7"/>
        <v>0</v>
      </c>
      <c r="AD17" s="666">
        <f t="shared" si="10"/>
        <v>1216</v>
      </c>
      <c r="AE17" s="666">
        <f t="shared" si="10"/>
        <v>0</v>
      </c>
      <c r="AF17" s="666">
        <f t="shared" si="10"/>
        <v>1216</v>
      </c>
      <c r="AG17" s="667" t="s">
        <v>615</v>
      </c>
      <c r="AH17" s="665">
        <f>'[3]int.bevételek RM I'!AJ17</f>
        <v>0</v>
      </c>
      <c r="AI17" s="665">
        <f>'[3]int.bevételek RM II maradvány'!AI17</f>
        <v>2977</v>
      </c>
      <c r="AJ17" s="665">
        <f t="shared" si="8"/>
        <v>2977</v>
      </c>
      <c r="AK17" s="666">
        <f>'[3]int.bevételek RM I'!AM17</f>
        <v>167727</v>
      </c>
      <c r="AL17" s="666">
        <f>'[3]int.bevételek RM II maradvány'!AS17</f>
        <v>9379</v>
      </c>
      <c r="AM17" s="666">
        <f t="shared" si="11"/>
        <v>177106</v>
      </c>
      <c r="AN17" s="666">
        <f t="shared" si="9"/>
        <v>168943</v>
      </c>
      <c r="AO17" s="666">
        <f t="shared" si="9"/>
        <v>12356</v>
      </c>
      <c r="AP17" s="666">
        <f t="shared" si="9"/>
        <v>181299</v>
      </c>
    </row>
    <row r="18" spans="1:42" ht="48.75" customHeight="1" x14ac:dyDescent="0.7">
      <c r="A18" s="667" t="s">
        <v>616</v>
      </c>
      <c r="B18" s="665">
        <f>'[3]int.bevételek RM I'!D18</f>
        <v>760</v>
      </c>
      <c r="C18" s="665"/>
      <c r="D18" s="665">
        <f t="shared" si="0"/>
        <v>760</v>
      </c>
      <c r="E18" s="665">
        <f>'[3]int.bevételek RM I'!G18</f>
        <v>0</v>
      </c>
      <c r="F18" s="665"/>
      <c r="G18" s="665">
        <f t="shared" si="1"/>
        <v>0</v>
      </c>
      <c r="H18" s="665">
        <f>'[3]int.bevételek RM I'!J18</f>
        <v>0</v>
      </c>
      <c r="I18" s="665"/>
      <c r="J18" s="665">
        <f t="shared" si="2"/>
        <v>0</v>
      </c>
      <c r="K18" s="665">
        <f>'[3]int.bevételek RM I'!M18</f>
        <v>0</v>
      </c>
      <c r="L18" s="665"/>
      <c r="M18" s="665">
        <f t="shared" si="3"/>
        <v>0</v>
      </c>
      <c r="N18" s="666">
        <f t="shared" si="4"/>
        <v>760</v>
      </c>
      <c r="O18" s="666">
        <f t="shared" si="4"/>
        <v>0</v>
      </c>
      <c r="P18" s="666">
        <f t="shared" si="4"/>
        <v>760</v>
      </c>
      <c r="Q18" s="667" t="s">
        <v>616</v>
      </c>
      <c r="R18" s="665">
        <f>'[3]int.bevételek RM I'!T18</f>
        <v>0</v>
      </c>
      <c r="S18" s="665"/>
      <c r="T18" s="665">
        <f t="shared" si="5"/>
        <v>0</v>
      </c>
      <c r="U18" s="665">
        <f>'[3]int.bevételek RM I'!W18</f>
        <v>0</v>
      </c>
      <c r="V18" s="665"/>
      <c r="W18" s="665">
        <f t="shared" si="12"/>
        <v>0</v>
      </c>
      <c r="X18" s="665">
        <f>'[3]int.bevételek RM I'!Z18</f>
        <v>0</v>
      </c>
      <c r="Y18" s="665"/>
      <c r="Z18" s="665">
        <f t="shared" si="6"/>
        <v>0</v>
      </c>
      <c r="AA18" s="666">
        <f t="shared" si="7"/>
        <v>0</v>
      </c>
      <c r="AB18" s="666">
        <f t="shared" si="7"/>
        <v>0</v>
      </c>
      <c r="AC18" s="666">
        <f t="shared" si="7"/>
        <v>0</v>
      </c>
      <c r="AD18" s="666">
        <f t="shared" si="10"/>
        <v>760</v>
      </c>
      <c r="AE18" s="666">
        <f t="shared" si="10"/>
        <v>0</v>
      </c>
      <c r="AF18" s="666">
        <f t="shared" si="10"/>
        <v>760</v>
      </c>
      <c r="AG18" s="667" t="s">
        <v>616</v>
      </c>
      <c r="AH18" s="665">
        <f>'[3]int.bevételek RM I'!AJ18</f>
        <v>0</v>
      </c>
      <c r="AI18" s="665">
        <f>'[3]int.bevételek RM II maradvány'!AI18</f>
        <v>2819</v>
      </c>
      <c r="AJ18" s="665">
        <f t="shared" si="8"/>
        <v>2819</v>
      </c>
      <c r="AK18" s="666">
        <f>'[3]int.bevételek RM I'!AM18</f>
        <v>230100</v>
      </c>
      <c r="AL18" s="666">
        <f>'[3]int.bevételek RM II maradvány'!AS18</f>
        <v>7000</v>
      </c>
      <c r="AM18" s="666">
        <f t="shared" si="11"/>
        <v>237100</v>
      </c>
      <c r="AN18" s="666">
        <f t="shared" si="9"/>
        <v>230860</v>
      </c>
      <c r="AO18" s="666">
        <f t="shared" si="9"/>
        <v>9819</v>
      </c>
      <c r="AP18" s="666">
        <f t="shared" si="9"/>
        <v>240679</v>
      </c>
    </row>
    <row r="19" spans="1:42" ht="48.75" customHeight="1" x14ac:dyDescent="0.7">
      <c r="A19" s="667" t="s">
        <v>617</v>
      </c>
      <c r="B19" s="665">
        <f>'[3]int.bevételek RM I'!D19</f>
        <v>2920</v>
      </c>
      <c r="C19" s="665"/>
      <c r="D19" s="665">
        <f t="shared" si="0"/>
        <v>2920</v>
      </c>
      <c r="E19" s="665">
        <f>'[3]int.bevételek RM I'!G19</f>
        <v>0</v>
      </c>
      <c r="F19" s="665"/>
      <c r="G19" s="665">
        <f t="shared" si="1"/>
        <v>0</v>
      </c>
      <c r="H19" s="665">
        <f>'[3]int.bevételek RM I'!J19</f>
        <v>0</v>
      </c>
      <c r="I19" s="665"/>
      <c r="J19" s="665">
        <f t="shared" si="2"/>
        <v>0</v>
      </c>
      <c r="K19" s="665">
        <f>'[3]int.bevételek RM I'!M19</f>
        <v>0</v>
      </c>
      <c r="L19" s="665"/>
      <c r="M19" s="665">
        <f t="shared" si="3"/>
        <v>0</v>
      </c>
      <c r="N19" s="666">
        <f t="shared" si="4"/>
        <v>2920</v>
      </c>
      <c r="O19" s="666">
        <f t="shared" si="4"/>
        <v>0</v>
      </c>
      <c r="P19" s="666">
        <f t="shared" si="4"/>
        <v>2920</v>
      </c>
      <c r="Q19" s="667" t="s">
        <v>617</v>
      </c>
      <c r="R19" s="665">
        <f>'[3]int.bevételek RM I'!T19</f>
        <v>0</v>
      </c>
      <c r="S19" s="665"/>
      <c r="T19" s="665">
        <f t="shared" si="5"/>
        <v>0</v>
      </c>
      <c r="U19" s="665">
        <f>'[3]int.bevételek RM I'!W19</f>
        <v>0</v>
      </c>
      <c r="V19" s="665"/>
      <c r="W19" s="665">
        <f t="shared" si="12"/>
        <v>0</v>
      </c>
      <c r="X19" s="665">
        <f>'[3]int.bevételek RM I'!Z19</f>
        <v>0</v>
      </c>
      <c r="Y19" s="665"/>
      <c r="Z19" s="665">
        <f t="shared" si="6"/>
        <v>0</v>
      </c>
      <c r="AA19" s="666">
        <f t="shared" si="7"/>
        <v>0</v>
      </c>
      <c r="AB19" s="666">
        <f t="shared" si="7"/>
        <v>0</v>
      </c>
      <c r="AC19" s="666">
        <f t="shared" si="7"/>
        <v>0</v>
      </c>
      <c r="AD19" s="666">
        <f t="shared" si="10"/>
        <v>2920</v>
      </c>
      <c r="AE19" s="666">
        <f t="shared" si="10"/>
        <v>0</v>
      </c>
      <c r="AF19" s="666">
        <f t="shared" si="10"/>
        <v>2920</v>
      </c>
      <c r="AG19" s="667" t="s">
        <v>617</v>
      </c>
      <c r="AH19" s="665">
        <f>'[3]int.bevételek RM I'!AJ19</f>
        <v>0</v>
      </c>
      <c r="AI19" s="665">
        <f>'[3]int.bevételek RM II maradvány'!AI19</f>
        <v>2377</v>
      </c>
      <c r="AJ19" s="665">
        <f t="shared" si="8"/>
        <v>2377</v>
      </c>
      <c r="AK19" s="666">
        <f>'[3]int.bevételek RM I'!AM19</f>
        <v>285732</v>
      </c>
      <c r="AL19" s="666">
        <f>'[3]int.bevételek RM II maradvány'!AS19</f>
        <v>3093</v>
      </c>
      <c r="AM19" s="666">
        <f t="shared" si="11"/>
        <v>288825</v>
      </c>
      <c r="AN19" s="666">
        <f t="shared" si="9"/>
        <v>288652</v>
      </c>
      <c r="AO19" s="666">
        <f t="shared" si="9"/>
        <v>5470</v>
      </c>
      <c r="AP19" s="666">
        <f t="shared" si="9"/>
        <v>294122</v>
      </c>
    </row>
    <row r="20" spans="1:42" ht="48.75" customHeight="1" x14ac:dyDescent="0.7">
      <c r="A20" s="667" t="s">
        <v>618</v>
      </c>
      <c r="B20" s="665">
        <f>'[3]int.bevételek RM I'!D20</f>
        <v>680</v>
      </c>
      <c r="C20" s="665"/>
      <c r="D20" s="665">
        <f t="shared" si="0"/>
        <v>680</v>
      </c>
      <c r="E20" s="665">
        <f>'[3]int.bevételek RM I'!G20</f>
        <v>0</v>
      </c>
      <c r="F20" s="665"/>
      <c r="G20" s="665">
        <f t="shared" si="1"/>
        <v>0</v>
      </c>
      <c r="H20" s="665">
        <f>'[3]int.bevételek RM I'!J20</f>
        <v>0</v>
      </c>
      <c r="I20" s="665"/>
      <c r="J20" s="665">
        <f t="shared" si="2"/>
        <v>0</v>
      </c>
      <c r="K20" s="665">
        <f>'[3]int.bevételek RM I'!M20</f>
        <v>0</v>
      </c>
      <c r="L20" s="665"/>
      <c r="M20" s="665">
        <f t="shared" si="3"/>
        <v>0</v>
      </c>
      <c r="N20" s="666">
        <f t="shared" si="4"/>
        <v>680</v>
      </c>
      <c r="O20" s="666">
        <f t="shared" si="4"/>
        <v>0</v>
      </c>
      <c r="P20" s="666">
        <f t="shared" si="4"/>
        <v>680</v>
      </c>
      <c r="Q20" s="667" t="s">
        <v>618</v>
      </c>
      <c r="R20" s="665">
        <f>'[3]int.bevételek RM I'!T20</f>
        <v>0</v>
      </c>
      <c r="S20" s="665"/>
      <c r="T20" s="665">
        <f t="shared" si="5"/>
        <v>0</v>
      </c>
      <c r="U20" s="665">
        <f>'[3]int.bevételek RM I'!W20</f>
        <v>0</v>
      </c>
      <c r="V20" s="665"/>
      <c r="W20" s="665">
        <f t="shared" si="12"/>
        <v>0</v>
      </c>
      <c r="X20" s="665">
        <f>'[3]int.bevételek RM I'!Z20</f>
        <v>0</v>
      </c>
      <c r="Y20" s="665"/>
      <c r="Z20" s="665">
        <f t="shared" si="6"/>
        <v>0</v>
      </c>
      <c r="AA20" s="666">
        <f t="shared" si="7"/>
        <v>0</v>
      </c>
      <c r="AB20" s="666">
        <f t="shared" si="7"/>
        <v>0</v>
      </c>
      <c r="AC20" s="666">
        <f t="shared" si="7"/>
        <v>0</v>
      </c>
      <c r="AD20" s="666">
        <f t="shared" si="10"/>
        <v>680</v>
      </c>
      <c r="AE20" s="666">
        <f t="shared" si="10"/>
        <v>0</v>
      </c>
      <c r="AF20" s="666">
        <f t="shared" si="10"/>
        <v>680</v>
      </c>
      <c r="AG20" s="667" t="s">
        <v>618</v>
      </c>
      <c r="AH20" s="665">
        <f>'[3]int.bevételek RM I'!AJ20</f>
        <v>0</v>
      </c>
      <c r="AI20" s="665">
        <f>'[3]int.bevételek RM II maradvány'!AI20</f>
        <v>846</v>
      </c>
      <c r="AJ20" s="665">
        <f t="shared" si="8"/>
        <v>846</v>
      </c>
      <c r="AK20" s="666">
        <f>'[3]int.bevételek RM I'!AM20</f>
        <v>135344</v>
      </c>
      <c r="AL20" s="666">
        <f>'[3]int.bevételek RM II maradvány'!AS20</f>
        <v>1568</v>
      </c>
      <c r="AM20" s="666">
        <f t="shared" si="11"/>
        <v>136912</v>
      </c>
      <c r="AN20" s="666">
        <f t="shared" si="9"/>
        <v>136024</v>
      </c>
      <c r="AO20" s="666">
        <f t="shared" si="9"/>
        <v>2414</v>
      </c>
      <c r="AP20" s="666">
        <f t="shared" si="9"/>
        <v>138438</v>
      </c>
    </row>
    <row r="21" spans="1:42" ht="48.75" customHeight="1" x14ac:dyDescent="0.7">
      <c r="A21" s="667" t="s">
        <v>619</v>
      </c>
      <c r="B21" s="665">
        <f>'[3]int.bevételek RM I'!D21</f>
        <v>1040</v>
      </c>
      <c r="C21" s="665">
        <v>269</v>
      </c>
      <c r="D21" s="665">
        <f t="shared" si="0"/>
        <v>1309</v>
      </c>
      <c r="E21" s="665">
        <f>'[3]int.bevételek RM I'!G21</f>
        <v>0</v>
      </c>
      <c r="F21" s="665"/>
      <c r="G21" s="665">
        <f t="shared" si="1"/>
        <v>0</v>
      </c>
      <c r="H21" s="665">
        <f>'[3]int.bevételek RM I'!J21</f>
        <v>0</v>
      </c>
      <c r="I21" s="665"/>
      <c r="J21" s="665">
        <f t="shared" si="2"/>
        <v>0</v>
      </c>
      <c r="K21" s="665">
        <f>'[3]int.bevételek RM I'!M21</f>
        <v>0</v>
      </c>
      <c r="L21" s="665"/>
      <c r="M21" s="665">
        <f t="shared" si="3"/>
        <v>0</v>
      </c>
      <c r="N21" s="666">
        <f t="shared" si="4"/>
        <v>1040</v>
      </c>
      <c r="O21" s="666">
        <f t="shared" si="4"/>
        <v>269</v>
      </c>
      <c r="P21" s="666">
        <f t="shared" si="4"/>
        <v>1309</v>
      </c>
      <c r="Q21" s="667" t="s">
        <v>619</v>
      </c>
      <c r="R21" s="665">
        <f>'[3]int.bevételek RM I'!T21</f>
        <v>0</v>
      </c>
      <c r="S21" s="665"/>
      <c r="T21" s="665">
        <f t="shared" si="5"/>
        <v>0</v>
      </c>
      <c r="U21" s="665">
        <f>'[3]int.bevételek RM I'!W21</f>
        <v>0</v>
      </c>
      <c r="V21" s="665"/>
      <c r="W21" s="665">
        <f t="shared" si="12"/>
        <v>0</v>
      </c>
      <c r="X21" s="665">
        <f>'[3]int.bevételek RM I'!Z21</f>
        <v>0</v>
      </c>
      <c r="Y21" s="665"/>
      <c r="Z21" s="665">
        <f t="shared" si="6"/>
        <v>0</v>
      </c>
      <c r="AA21" s="666">
        <f t="shared" si="7"/>
        <v>0</v>
      </c>
      <c r="AB21" s="666">
        <f t="shared" si="7"/>
        <v>0</v>
      </c>
      <c r="AC21" s="666">
        <f t="shared" si="7"/>
        <v>0</v>
      </c>
      <c r="AD21" s="666">
        <f t="shared" si="10"/>
        <v>1040</v>
      </c>
      <c r="AE21" s="666">
        <f t="shared" si="10"/>
        <v>269</v>
      </c>
      <c r="AF21" s="666">
        <f t="shared" si="10"/>
        <v>1309</v>
      </c>
      <c r="AG21" s="667" t="s">
        <v>619</v>
      </c>
      <c r="AH21" s="665">
        <f>'[3]int.bevételek RM I'!AJ21</f>
        <v>0</v>
      </c>
      <c r="AI21" s="665">
        <f>'[3]int.bevételek RM II maradvány'!AI21</f>
        <v>1420</v>
      </c>
      <c r="AJ21" s="665">
        <f t="shared" si="8"/>
        <v>1420</v>
      </c>
      <c r="AK21" s="666">
        <f>'[3]int.bevételek RM I'!AM21</f>
        <v>129802</v>
      </c>
      <c r="AL21" s="666">
        <f>'[3]int.bevételek RM II maradvány'!AS21</f>
        <v>5530</v>
      </c>
      <c r="AM21" s="666">
        <f t="shared" si="11"/>
        <v>135332</v>
      </c>
      <c r="AN21" s="666">
        <f t="shared" si="9"/>
        <v>130842</v>
      </c>
      <c r="AO21" s="666">
        <f t="shared" si="9"/>
        <v>7219</v>
      </c>
      <c r="AP21" s="666">
        <f t="shared" si="9"/>
        <v>138061</v>
      </c>
    </row>
    <row r="22" spans="1:42" ht="48.75" customHeight="1" x14ac:dyDescent="0.7">
      <c r="A22" s="667" t="s">
        <v>620</v>
      </c>
      <c r="B22" s="665">
        <f>'[3]int.bevételek RM I'!D22</f>
        <v>1176</v>
      </c>
      <c r="C22" s="665"/>
      <c r="D22" s="665">
        <f t="shared" si="0"/>
        <v>1176</v>
      </c>
      <c r="E22" s="665">
        <f>'[3]int.bevételek RM I'!G22</f>
        <v>0</v>
      </c>
      <c r="F22" s="665"/>
      <c r="G22" s="665">
        <f t="shared" si="1"/>
        <v>0</v>
      </c>
      <c r="H22" s="665">
        <f>'[3]int.bevételek RM I'!J22</f>
        <v>0</v>
      </c>
      <c r="I22" s="665"/>
      <c r="J22" s="665">
        <f t="shared" si="2"/>
        <v>0</v>
      </c>
      <c r="K22" s="665">
        <f>'[3]int.bevételek RM I'!M22</f>
        <v>0</v>
      </c>
      <c r="L22" s="665"/>
      <c r="M22" s="665">
        <f t="shared" si="3"/>
        <v>0</v>
      </c>
      <c r="N22" s="666">
        <f t="shared" si="4"/>
        <v>1176</v>
      </c>
      <c r="O22" s="666">
        <f t="shared" si="4"/>
        <v>0</v>
      </c>
      <c r="P22" s="666">
        <f t="shared" si="4"/>
        <v>1176</v>
      </c>
      <c r="Q22" s="667" t="s">
        <v>620</v>
      </c>
      <c r="R22" s="665">
        <f>'[3]int.bevételek RM I'!T22</f>
        <v>0</v>
      </c>
      <c r="S22" s="665"/>
      <c r="T22" s="665">
        <f t="shared" si="5"/>
        <v>0</v>
      </c>
      <c r="U22" s="665">
        <f>'[3]int.bevételek RM I'!W22</f>
        <v>0</v>
      </c>
      <c r="V22" s="665"/>
      <c r="W22" s="665">
        <f t="shared" si="12"/>
        <v>0</v>
      </c>
      <c r="X22" s="665">
        <f>'[3]int.bevételek RM I'!Z22</f>
        <v>0</v>
      </c>
      <c r="Y22" s="665"/>
      <c r="Z22" s="665">
        <f t="shared" si="6"/>
        <v>0</v>
      </c>
      <c r="AA22" s="666">
        <f t="shared" si="7"/>
        <v>0</v>
      </c>
      <c r="AB22" s="666">
        <f t="shared" si="7"/>
        <v>0</v>
      </c>
      <c r="AC22" s="666">
        <f t="shared" si="7"/>
        <v>0</v>
      </c>
      <c r="AD22" s="666">
        <f t="shared" si="10"/>
        <v>1176</v>
      </c>
      <c r="AE22" s="666">
        <f t="shared" si="10"/>
        <v>0</v>
      </c>
      <c r="AF22" s="666">
        <f t="shared" si="10"/>
        <v>1176</v>
      </c>
      <c r="AG22" s="667" t="s">
        <v>620</v>
      </c>
      <c r="AH22" s="665">
        <f>'[3]int.bevételek RM I'!AJ22</f>
        <v>0</v>
      </c>
      <c r="AI22" s="665">
        <f>'[3]int.bevételek RM II maradvány'!AI22</f>
        <v>1567</v>
      </c>
      <c r="AJ22" s="665">
        <f t="shared" si="8"/>
        <v>1567</v>
      </c>
      <c r="AK22" s="666">
        <f>'[3]int.bevételek RM I'!AM22</f>
        <v>160936</v>
      </c>
      <c r="AL22" s="666">
        <f>'[3]int.bevételek RM II maradvány'!AS22</f>
        <v>1977</v>
      </c>
      <c r="AM22" s="666">
        <f t="shared" si="11"/>
        <v>162913</v>
      </c>
      <c r="AN22" s="666">
        <f t="shared" si="9"/>
        <v>162112</v>
      </c>
      <c r="AO22" s="666">
        <f t="shared" si="9"/>
        <v>3544</v>
      </c>
      <c r="AP22" s="666">
        <f t="shared" si="9"/>
        <v>165656</v>
      </c>
    </row>
    <row r="23" spans="1:42" ht="48.75" customHeight="1" x14ac:dyDescent="0.7">
      <c r="A23" s="667" t="s">
        <v>621</v>
      </c>
      <c r="B23" s="665">
        <f>'[3]int.bevételek RM I'!D23</f>
        <v>472</v>
      </c>
      <c r="C23" s="665"/>
      <c r="D23" s="665">
        <f t="shared" si="0"/>
        <v>472</v>
      </c>
      <c r="E23" s="665">
        <f>'[3]int.bevételek RM I'!G23</f>
        <v>0</v>
      </c>
      <c r="F23" s="665"/>
      <c r="G23" s="665">
        <f t="shared" si="1"/>
        <v>0</v>
      </c>
      <c r="H23" s="665">
        <f>'[3]int.bevételek RM I'!J23</f>
        <v>0</v>
      </c>
      <c r="I23" s="665"/>
      <c r="J23" s="665">
        <f t="shared" si="2"/>
        <v>0</v>
      </c>
      <c r="K23" s="665">
        <f>'[3]int.bevételek RM I'!M23</f>
        <v>0</v>
      </c>
      <c r="L23" s="665"/>
      <c r="M23" s="665">
        <f t="shared" si="3"/>
        <v>0</v>
      </c>
      <c r="N23" s="666">
        <f t="shared" si="4"/>
        <v>472</v>
      </c>
      <c r="O23" s="666">
        <f t="shared" si="4"/>
        <v>0</v>
      </c>
      <c r="P23" s="666">
        <f t="shared" si="4"/>
        <v>472</v>
      </c>
      <c r="Q23" s="667" t="s">
        <v>621</v>
      </c>
      <c r="R23" s="665">
        <f>'[3]int.bevételek RM I'!T23</f>
        <v>0</v>
      </c>
      <c r="S23" s="665"/>
      <c r="T23" s="665">
        <f t="shared" si="5"/>
        <v>0</v>
      </c>
      <c r="U23" s="665">
        <f>'[3]int.bevételek RM I'!W23</f>
        <v>0</v>
      </c>
      <c r="V23" s="665"/>
      <c r="W23" s="665">
        <f t="shared" si="12"/>
        <v>0</v>
      </c>
      <c r="X23" s="665">
        <f>'[3]int.bevételek RM I'!Z23</f>
        <v>0</v>
      </c>
      <c r="Y23" s="665"/>
      <c r="Z23" s="665">
        <f t="shared" si="6"/>
        <v>0</v>
      </c>
      <c r="AA23" s="666">
        <f t="shared" si="7"/>
        <v>0</v>
      </c>
      <c r="AB23" s="666">
        <f t="shared" si="7"/>
        <v>0</v>
      </c>
      <c r="AC23" s="666">
        <f t="shared" si="7"/>
        <v>0</v>
      </c>
      <c r="AD23" s="666">
        <f t="shared" si="10"/>
        <v>472</v>
      </c>
      <c r="AE23" s="666">
        <f t="shared" si="10"/>
        <v>0</v>
      </c>
      <c r="AF23" s="666">
        <f t="shared" si="10"/>
        <v>472</v>
      </c>
      <c r="AG23" s="667" t="s">
        <v>621</v>
      </c>
      <c r="AH23" s="665">
        <f>'[3]int.bevételek RM I'!AJ23</f>
        <v>0</v>
      </c>
      <c r="AI23" s="665">
        <f>'[3]int.bevételek RM II maradvány'!AI23</f>
        <v>2253</v>
      </c>
      <c r="AJ23" s="665">
        <f t="shared" si="8"/>
        <v>2253</v>
      </c>
      <c r="AK23" s="666">
        <f>'[3]int.bevételek RM I'!AM23</f>
        <v>191931</v>
      </c>
      <c r="AL23" s="666">
        <f>'[3]int.bevételek RM II maradvány'!AS23</f>
        <v>3381</v>
      </c>
      <c r="AM23" s="666">
        <f t="shared" si="11"/>
        <v>195312</v>
      </c>
      <c r="AN23" s="666">
        <f t="shared" si="9"/>
        <v>192403</v>
      </c>
      <c r="AO23" s="666">
        <f t="shared" si="9"/>
        <v>5634</v>
      </c>
      <c r="AP23" s="666">
        <f t="shared" si="9"/>
        <v>198037</v>
      </c>
    </row>
    <row r="24" spans="1:42" ht="48.75" customHeight="1" x14ac:dyDescent="0.7">
      <c r="A24" s="667" t="s">
        <v>622</v>
      </c>
      <c r="B24" s="665">
        <f>'[3]int.bevételek RM I'!D24</f>
        <v>1448</v>
      </c>
      <c r="C24" s="665"/>
      <c r="D24" s="665">
        <f t="shared" si="0"/>
        <v>1448</v>
      </c>
      <c r="E24" s="665">
        <f>'[3]int.bevételek RM I'!G24</f>
        <v>0</v>
      </c>
      <c r="F24" s="665"/>
      <c r="G24" s="665">
        <f t="shared" si="1"/>
        <v>0</v>
      </c>
      <c r="H24" s="665">
        <f>'[3]int.bevételek RM I'!J24</f>
        <v>0</v>
      </c>
      <c r="I24" s="665"/>
      <c r="J24" s="665">
        <f t="shared" si="2"/>
        <v>0</v>
      </c>
      <c r="K24" s="665">
        <f>'[3]int.bevételek RM I'!M24</f>
        <v>0</v>
      </c>
      <c r="L24" s="665"/>
      <c r="M24" s="665">
        <f t="shared" si="3"/>
        <v>0</v>
      </c>
      <c r="N24" s="666">
        <f t="shared" si="4"/>
        <v>1448</v>
      </c>
      <c r="O24" s="666">
        <f t="shared" si="4"/>
        <v>0</v>
      </c>
      <c r="P24" s="666">
        <f t="shared" si="4"/>
        <v>1448</v>
      </c>
      <c r="Q24" s="667" t="s">
        <v>622</v>
      </c>
      <c r="R24" s="665">
        <f>'[3]int.bevételek RM I'!T24</f>
        <v>0</v>
      </c>
      <c r="S24" s="665"/>
      <c r="T24" s="665">
        <f t="shared" si="5"/>
        <v>0</v>
      </c>
      <c r="U24" s="665">
        <f>'[3]int.bevételek RM I'!W24</f>
        <v>0</v>
      </c>
      <c r="V24" s="665"/>
      <c r="W24" s="665">
        <f>SUM(U24:V24)</f>
        <v>0</v>
      </c>
      <c r="X24" s="665">
        <f>'[3]int.bevételek RM I'!Z24</f>
        <v>0</v>
      </c>
      <c r="Y24" s="665"/>
      <c r="Z24" s="665">
        <f t="shared" si="6"/>
        <v>0</v>
      </c>
      <c r="AA24" s="666">
        <f t="shared" si="7"/>
        <v>0</v>
      </c>
      <c r="AB24" s="666">
        <f t="shared" si="7"/>
        <v>0</v>
      </c>
      <c r="AC24" s="666">
        <f t="shared" si="7"/>
        <v>0</v>
      </c>
      <c r="AD24" s="666">
        <f t="shared" si="10"/>
        <v>1448</v>
      </c>
      <c r="AE24" s="666">
        <f t="shared" si="10"/>
        <v>0</v>
      </c>
      <c r="AF24" s="666">
        <f t="shared" si="10"/>
        <v>1448</v>
      </c>
      <c r="AG24" s="667" t="s">
        <v>622</v>
      </c>
      <c r="AH24" s="665">
        <f>'[3]int.bevételek RM I'!AJ24</f>
        <v>0</v>
      </c>
      <c r="AI24" s="665">
        <f>'[3]int.bevételek RM II maradvány'!AI24</f>
        <v>2458</v>
      </c>
      <c r="AJ24" s="665">
        <f t="shared" si="8"/>
        <v>2458</v>
      </c>
      <c r="AK24" s="666">
        <f>'[3]int.bevételek RM I'!AM24</f>
        <v>266280</v>
      </c>
      <c r="AL24" s="666">
        <f>'[3]int.bevételek RM II maradvány'!AS24</f>
        <v>8759</v>
      </c>
      <c r="AM24" s="666">
        <f t="shared" si="11"/>
        <v>275039</v>
      </c>
      <c r="AN24" s="666">
        <f t="shared" si="9"/>
        <v>267728</v>
      </c>
      <c r="AO24" s="666">
        <f t="shared" si="9"/>
        <v>11217</v>
      </c>
      <c r="AP24" s="666">
        <f t="shared" si="9"/>
        <v>278945</v>
      </c>
    </row>
    <row r="25" spans="1:42" ht="48.75" customHeight="1" x14ac:dyDescent="0.7">
      <c r="A25" s="667" t="s">
        <v>623</v>
      </c>
      <c r="B25" s="665">
        <f>'[3]int.bevételek RM I'!D25</f>
        <v>360</v>
      </c>
      <c r="C25" s="665"/>
      <c r="D25" s="665">
        <f t="shared" si="0"/>
        <v>360</v>
      </c>
      <c r="E25" s="665">
        <f>'[3]int.bevételek RM I'!G25</f>
        <v>0</v>
      </c>
      <c r="F25" s="665"/>
      <c r="G25" s="665">
        <f t="shared" si="1"/>
        <v>0</v>
      </c>
      <c r="H25" s="665">
        <f>'[3]int.bevételek RM I'!J25</f>
        <v>0</v>
      </c>
      <c r="I25" s="665"/>
      <c r="J25" s="665">
        <f t="shared" si="2"/>
        <v>0</v>
      </c>
      <c r="K25" s="665">
        <f>'[3]int.bevételek RM I'!M25</f>
        <v>0</v>
      </c>
      <c r="L25" s="665"/>
      <c r="M25" s="665">
        <f t="shared" si="3"/>
        <v>0</v>
      </c>
      <c r="N25" s="666">
        <f t="shared" si="4"/>
        <v>360</v>
      </c>
      <c r="O25" s="666">
        <f t="shared" si="4"/>
        <v>0</v>
      </c>
      <c r="P25" s="666">
        <f t="shared" si="4"/>
        <v>360</v>
      </c>
      <c r="Q25" s="667" t="s">
        <v>623</v>
      </c>
      <c r="R25" s="665">
        <f>'[3]int.bevételek RM I'!T25</f>
        <v>0</v>
      </c>
      <c r="S25" s="665"/>
      <c r="T25" s="665">
        <f t="shared" si="5"/>
        <v>0</v>
      </c>
      <c r="U25" s="665">
        <f>'[3]int.bevételek RM I'!W25</f>
        <v>0</v>
      </c>
      <c r="V25" s="665"/>
      <c r="W25" s="665">
        <f>SUM(U25:V25)</f>
        <v>0</v>
      </c>
      <c r="X25" s="665">
        <f>'[3]int.bevételek RM I'!Z25</f>
        <v>0</v>
      </c>
      <c r="Y25" s="665"/>
      <c r="Z25" s="665">
        <f t="shared" si="6"/>
        <v>0</v>
      </c>
      <c r="AA25" s="666">
        <f t="shared" si="7"/>
        <v>0</v>
      </c>
      <c r="AB25" s="666">
        <f t="shared" si="7"/>
        <v>0</v>
      </c>
      <c r="AC25" s="666">
        <f t="shared" si="7"/>
        <v>0</v>
      </c>
      <c r="AD25" s="666">
        <f t="shared" si="10"/>
        <v>360</v>
      </c>
      <c r="AE25" s="666">
        <f t="shared" si="10"/>
        <v>0</v>
      </c>
      <c r="AF25" s="666">
        <f t="shared" si="10"/>
        <v>360</v>
      </c>
      <c r="AG25" s="667" t="s">
        <v>623</v>
      </c>
      <c r="AH25" s="665">
        <f>'[3]int.bevételek RM I'!AJ25</f>
        <v>0</v>
      </c>
      <c r="AI25" s="665">
        <f>'[3]int.bevételek RM II maradvány'!AI25</f>
        <v>2255</v>
      </c>
      <c r="AJ25" s="665">
        <f t="shared" si="8"/>
        <v>2255</v>
      </c>
      <c r="AK25" s="666">
        <f>'[3]int.bevételek RM I'!AM25</f>
        <v>194627</v>
      </c>
      <c r="AL25" s="666">
        <f>'[3]int.bevételek RM II maradvány'!AS25-1000</f>
        <v>8996</v>
      </c>
      <c r="AM25" s="666">
        <f t="shared" si="11"/>
        <v>203623</v>
      </c>
      <c r="AN25" s="666">
        <f t="shared" si="9"/>
        <v>194987</v>
      </c>
      <c r="AO25" s="666">
        <f t="shared" si="9"/>
        <v>11251</v>
      </c>
      <c r="AP25" s="666">
        <f t="shared" si="9"/>
        <v>206238</v>
      </c>
    </row>
    <row r="26" spans="1:42" ht="48.75" customHeight="1" x14ac:dyDescent="0.7">
      <c r="A26" s="664" t="s">
        <v>624</v>
      </c>
      <c r="B26" s="665">
        <f>'[3]int.bevételek RM I'!D26</f>
        <v>1000</v>
      </c>
      <c r="C26" s="665">
        <v>163</v>
      </c>
      <c r="D26" s="665">
        <f t="shared" si="0"/>
        <v>1163</v>
      </c>
      <c r="E26" s="665">
        <f>'[3]int.bevételek RM I'!G26</f>
        <v>0</v>
      </c>
      <c r="F26" s="665"/>
      <c r="G26" s="665">
        <f t="shared" si="1"/>
        <v>0</v>
      </c>
      <c r="H26" s="665">
        <f>'[3]int.bevételek RM I'!J26</f>
        <v>0</v>
      </c>
      <c r="I26" s="665"/>
      <c r="J26" s="665">
        <f t="shared" si="2"/>
        <v>0</v>
      </c>
      <c r="K26" s="665">
        <f>'[3]int.bevételek RM I'!M26</f>
        <v>0</v>
      </c>
      <c r="L26" s="665"/>
      <c r="M26" s="665">
        <f t="shared" si="3"/>
        <v>0</v>
      </c>
      <c r="N26" s="666">
        <f t="shared" si="4"/>
        <v>1000</v>
      </c>
      <c r="O26" s="666">
        <f t="shared" si="4"/>
        <v>163</v>
      </c>
      <c r="P26" s="666">
        <f t="shared" si="4"/>
        <v>1163</v>
      </c>
      <c r="Q26" s="664" t="s">
        <v>624</v>
      </c>
      <c r="R26" s="665">
        <f>'[3]int.bevételek RM I'!T26</f>
        <v>0</v>
      </c>
      <c r="S26" s="665"/>
      <c r="T26" s="665">
        <f t="shared" si="5"/>
        <v>0</v>
      </c>
      <c r="U26" s="665">
        <f>'[3]int.bevételek RM I'!W26</f>
        <v>0</v>
      </c>
      <c r="V26" s="665"/>
      <c r="W26" s="665">
        <f>SUM(U26:V26)</f>
        <v>0</v>
      </c>
      <c r="X26" s="665">
        <f>'[3]int.bevételek RM I'!Z26</f>
        <v>0</v>
      </c>
      <c r="Y26" s="665"/>
      <c r="Z26" s="665">
        <f t="shared" si="6"/>
        <v>0</v>
      </c>
      <c r="AA26" s="666">
        <f t="shared" si="7"/>
        <v>0</v>
      </c>
      <c r="AB26" s="666">
        <f t="shared" si="7"/>
        <v>0</v>
      </c>
      <c r="AC26" s="666">
        <f t="shared" si="7"/>
        <v>0</v>
      </c>
      <c r="AD26" s="666">
        <f t="shared" si="10"/>
        <v>1000</v>
      </c>
      <c r="AE26" s="666">
        <f t="shared" si="10"/>
        <v>163</v>
      </c>
      <c r="AF26" s="666">
        <f t="shared" si="10"/>
        <v>1163</v>
      </c>
      <c r="AG26" s="664" t="s">
        <v>624</v>
      </c>
      <c r="AH26" s="665">
        <f>'[3]int.bevételek RM I'!AJ26</f>
        <v>0</v>
      </c>
      <c r="AI26" s="665">
        <f>'[3]int.bevételek RM II maradvány'!AI26</f>
        <v>1419</v>
      </c>
      <c r="AJ26" s="665">
        <f t="shared" si="8"/>
        <v>1419</v>
      </c>
      <c r="AK26" s="666">
        <f>'[3]int.bevételek RM I'!AM26</f>
        <v>147733</v>
      </c>
      <c r="AL26" s="666">
        <f>'[3]int.bevételek RM II maradvány'!AS26</f>
        <v>5394</v>
      </c>
      <c r="AM26" s="666">
        <f t="shared" si="11"/>
        <v>153127</v>
      </c>
      <c r="AN26" s="666">
        <f t="shared" si="9"/>
        <v>148733</v>
      </c>
      <c r="AO26" s="666">
        <f t="shared" si="9"/>
        <v>6976</v>
      </c>
      <c r="AP26" s="666">
        <f t="shared" si="9"/>
        <v>155709</v>
      </c>
    </row>
    <row r="27" spans="1:42" ht="48.75" customHeight="1" thickBot="1" x14ac:dyDescent="0.75">
      <c r="A27" s="668" t="s">
        <v>625</v>
      </c>
      <c r="B27" s="665">
        <f>'[3]int.bevételek RM I'!D27</f>
        <v>840</v>
      </c>
      <c r="C27" s="669"/>
      <c r="D27" s="669">
        <f t="shared" si="0"/>
        <v>840</v>
      </c>
      <c r="E27" s="665">
        <f>'[3]int.bevételek RM I'!G27</f>
        <v>0</v>
      </c>
      <c r="F27" s="669"/>
      <c r="G27" s="669">
        <f t="shared" si="1"/>
        <v>0</v>
      </c>
      <c r="H27" s="669">
        <f>'[3]int.bevételek RM I'!J27</f>
        <v>0</v>
      </c>
      <c r="I27" s="669"/>
      <c r="J27" s="669">
        <f t="shared" si="2"/>
        <v>0</v>
      </c>
      <c r="K27" s="669">
        <f>'[3]int.bevételek RM I'!M27</f>
        <v>0</v>
      </c>
      <c r="L27" s="669"/>
      <c r="M27" s="665">
        <f t="shared" si="3"/>
        <v>0</v>
      </c>
      <c r="N27" s="666">
        <f t="shared" si="4"/>
        <v>840</v>
      </c>
      <c r="O27" s="666">
        <f t="shared" si="4"/>
        <v>0</v>
      </c>
      <c r="P27" s="666">
        <f t="shared" si="4"/>
        <v>840</v>
      </c>
      <c r="Q27" s="668" t="s">
        <v>625</v>
      </c>
      <c r="R27" s="669">
        <f>'[3]int.bevételek RM I'!T27</f>
        <v>0</v>
      </c>
      <c r="S27" s="669"/>
      <c r="T27" s="669">
        <f t="shared" si="5"/>
        <v>0</v>
      </c>
      <c r="U27" s="669">
        <f>'[3]int.bevételek RM I'!W27</f>
        <v>0</v>
      </c>
      <c r="V27" s="669"/>
      <c r="W27" s="665">
        <f>SUM(U27:V27)</f>
        <v>0</v>
      </c>
      <c r="X27" s="669">
        <f>'[3]int.bevételek RM I'!Z27</f>
        <v>0</v>
      </c>
      <c r="Y27" s="669"/>
      <c r="Z27" s="669">
        <f t="shared" si="6"/>
        <v>0</v>
      </c>
      <c r="AA27" s="666">
        <f t="shared" si="7"/>
        <v>0</v>
      </c>
      <c r="AB27" s="666">
        <f t="shared" si="7"/>
        <v>0</v>
      </c>
      <c r="AC27" s="666">
        <f t="shared" si="7"/>
        <v>0</v>
      </c>
      <c r="AD27" s="670">
        <f t="shared" si="10"/>
        <v>840</v>
      </c>
      <c r="AE27" s="670">
        <f t="shared" si="10"/>
        <v>0</v>
      </c>
      <c r="AF27" s="670">
        <f t="shared" si="10"/>
        <v>840</v>
      </c>
      <c r="AG27" s="668" t="s">
        <v>625</v>
      </c>
      <c r="AH27" s="669">
        <f>'[3]int.bevételek RM I'!AJ27</f>
        <v>0</v>
      </c>
      <c r="AI27" s="669">
        <f>'[3]int.bevételek RM II maradvány'!AI27</f>
        <v>1808</v>
      </c>
      <c r="AJ27" s="669">
        <f t="shared" si="8"/>
        <v>1808</v>
      </c>
      <c r="AK27" s="666">
        <f>'[3]int.bevételek RM I'!AM27</f>
        <v>119614</v>
      </c>
      <c r="AL27" s="666">
        <f>'[3]int.bevételek RM II maradvány'!AS27</f>
        <v>1448</v>
      </c>
      <c r="AM27" s="666">
        <f t="shared" si="11"/>
        <v>121062</v>
      </c>
      <c r="AN27" s="666">
        <f t="shared" si="9"/>
        <v>120454</v>
      </c>
      <c r="AO27" s="666">
        <f t="shared" si="9"/>
        <v>3256</v>
      </c>
      <c r="AP27" s="666">
        <f t="shared" si="9"/>
        <v>123710</v>
      </c>
    </row>
    <row r="28" spans="1:42" ht="57.75" customHeight="1" thickBot="1" x14ac:dyDescent="0.75">
      <c r="A28" s="671" t="s">
        <v>626</v>
      </c>
      <c r="B28" s="672">
        <f t="shared" ref="B28:P28" si="13">SUM(B10:B27)</f>
        <v>20784</v>
      </c>
      <c r="C28" s="672">
        <f t="shared" si="13"/>
        <v>884</v>
      </c>
      <c r="D28" s="672">
        <f t="shared" si="13"/>
        <v>21668</v>
      </c>
      <c r="E28" s="672">
        <f t="shared" si="13"/>
        <v>0</v>
      </c>
      <c r="F28" s="672">
        <f t="shared" si="13"/>
        <v>0</v>
      </c>
      <c r="G28" s="672">
        <f t="shared" si="13"/>
        <v>0</v>
      </c>
      <c r="H28" s="672">
        <f t="shared" si="13"/>
        <v>0</v>
      </c>
      <c r="I28" s="672">
        <f t="shared" si="13"/>
        <v>381</v>
      </c>
      <c r="J28" s="672">
        <f t="shared" si="13"/>
        <v>381</v>
      </c>
      <c r="K28" s="672">
        <f t="shared" si="13"/>
        <v>0</v>
      </c>
      <c r="L28" s="672">
        <f t="shared" si="13"/>
        <v>0</v>
      </c>
      <c r="M28" s="672">
        <f t="shared" si="13"/>
        <v>0</v>
      </c>
      <c r="N28" s="672">
        <f t="shared" si="13"/>
        <v>20784</v>
      </c>
      <c r="O28" s="672">
        <f t="shared" si="13"/>
        <v>1265</v>
      </c>
      <c r="P28" s="672">
        <f t="shared" si="13"/>
        <v>22049</v>
      </c>
      <c r="Q28" s="671" t="s">
        <v>626</v>
      </c>
      <c r="R28" s="672">
        <f t="shared" ref="R28:AC28" si="14">SUM(R10:R27)</f>
        <v>0</v>
      </c>
      <c r="S28" s="672">
        <f t="shared" si="14"/>
        <v>0</v>
      </c>
      <c r="T28" s="672">
        <f t="shared" si="14"/>
        <v>0</v>
      </c>
      <c r="U28" s="672">
        <f t="shared" si="14"/>
        <v>0</v>
      </c>
      <c r="V28" s="672">
        <f t="shared" si="14"/>
        <v>0</v>
      </c>
      <c r="W28" s="672">
        <f t="shared" si="14"/>
        <v>0</v>
      </c>
      <c r="X28" s="672">
        <f t="shared" si="14"/>
        <v>0</v>
      </c>
      <c r="Y28" s="672">
        <f t="shared" si="14"/>
        <v>0</v>
      </c>
      <c r="Z28" s="672">
        <f t="shared" si="14"/>
        <v>0</v>
      </c>
      <c r="AA28" s="672">
        <f t="shared" si="14"/>
        <v>0</v>
      </c>
      <c r="AB28" s="672">
        <f t="shared" si="14"/>
        <v>0</v>
      </c>
      <c r="AC28" s="672">
        <f t="shared" si="14"/>
        <v>0</v>
      </c>
      <c r="AD28" s="673">
        <f t="shared" si="10"/>
        <v>20784</v>
      </c>
      <c r="AE28" s="673">
        <f t="shared" si="10"/>
        <v>1265</v>
      </c>
      <c r="AF28" s="672">
        <f t="shared" si="10"/>
        <v>22049</v>
      </c>
      <c r="AG28" s="671" t="s">
        <v>626</v>
      </c>
      <c r="AH28" s="672">
        <f>SUM(AH10:AH27)</f>
        <v>0</v>
      </c>
      <c r="AI28" s="672">
        <f>SUM(AI10:AI27)</f>
        <v>36644</v>
      </c>
      <c r="AJ28" s="672">
        <f>SUM(AJ10:AJ27)</f>
        <v>36644</v>
      </c>
      <c r="AK28" s="672">
        <f t="shared" ref="AK28:AP28" si="15">SUM(AK10:AK27)</f>
        <v>3520116</v>
      </c>
      <c r="AL28" s="672">
        <f t="shared" si="15"/>
        <v>74718</v>
      </c>
      <c r="AM28" s="672">
        <f t="shared" si="15"/>
        <v>3594834</v>
      </c>
      <c r="AN28" s="672">
        <f t="shared" si="15"/>
        <v>3540900</v>
      </c>
      <c r="AO28" s="672">
        <f t="shared" si="15"/>
        <v>112627</v>
      </c>
      <c r="AP28" s="672">
        <f t="shared" si="15"/>
        <v>3653527</v>
      </c>
    </row>
    <row r="29" spans="1:42" ht="63.75" customHeight="1" thickBot="1" x14ac:dyDescent="0.75">
      <c r="A29" s="674" t="s">
        <v>627</v>
      </c>
      <c r="B29" s="665">
        <f>'[3]int.bevételek RM I'!D29</f>
        <v>658521</v>
      </c>
      <c r="C29" s="675"/>
      <c r="D29" s="675">
        <f>SUM(B29:C29)</f>
        <v>658521</v>
      </c>
      <c r="E29" s="665">
        <f>'[3]int.bevételek RM I'!G29</f>
        <v>0</v>
      </c>
      <c r="F29" s="675">
        <v>1048</v>
      </c>
      <c r="G29" s="675">
        <f>SUM(E29:F29)</f>
        <v>1048</v>
      </c>
      <c r="H29" s="675">
        <f>'[3]int.bevételek RM I'!J29</f>
        <v>0</v>
      </c>
      <c r="I29" s="675"/>
      <c r="J29" s="675">
        <f>SUM(H29:I29)</f>
        <v>0</v>
      </c>
      <c r="K29" s="675">
        <f>'[3]int.bevételek RM I'!M29</f>
        <v>0</v>
      </c>
      <c r="L29" s="675"/>
      <c r="M29" s="675">
        <f>SUM(K29:L29)</f>
        <v>0</v>
      </c>
      <c r="N29" s="666">
        <f>B29+E29+H29+K29</f>
        <v>658521</v>
      </c>
      <c r="O29" s="666">
        <f>C29+F29+I29+L29</f>
        <v>1048</v>
      </c>
      <c r="P29" s="666">
        <f>D29+G29+J29+M29</f>
        <v>659569</v>
      </c>
      <c r="Q29" s="674" t="s">
        <v>627</v>
      </c>
      <c r="R29" s="675">
        <f>'[3]int.bevételek RM I'!T29</f>
        <v>0</v>
      </c>
      <c r="S29" s="675">
        <v>35</v>
      </c>
      <c r="T29" s="675">
        <f>SUM(R29:S29)</f>
        <v>35</v>
      </c>
      <c r="U29" s="675">
        <f>'[3]int.bevételek RM I'!W29</f>
        <v>0</v>
      </c>
      <c r="V29" s="675"/>
      <c r="W29" s="675">
        <f>SUM(U29:V29)</f>
        <v>0</v>
      </c>
      <c r="X29" s="675">
        <f>'[3]int.bevételek RM I'!Z29</f>
        <v>0</v>
      </c>
      <c r="Y29" s="675"/>
      <c r="Z29" s="675">
        <f>SUM(X29:Y29)</f>
        <v>0</v>
      </c>
      <c r="AA29" s="666">
        <f>R29+U29+X29</f>
        <v>0</v>
      </c>
      <c r="AB29" s="666">
        <f>S29+V29+Y29</f>
        <v>35</v>
      </c>
      <c r="AC29" s="666">
        <f>T29+W29+Z29</f>
        <v>35</v>
      </c>
      <c r="AD29" s="676">
        <f t="shared" si="10"/>
        <v>658521</v>
      </c>
      <c r="AE29" s="676">
        <f t="shared" si="10"/>
        <v>1083</v>
      </c>
      <c r="AF29" s="672">
        <f t="shared" si="10"/>
        <v>659604</v>
      </c>
      <c r="AG29" s="674" t="s">
        <v>627</v>
      </c>
      <c r="AH29" s="675">
        <f>'[3]int.bevételek RM I'!AJ29</f>
        <v>0</v>
      </c>
      <c r="AI29" s="675">
        <f>'[3]int.bevételek RM II maradvány'!AI29</f>
        <v>16061</v>
      </c>
      <c r="AJ29" s="675">
        <f>SUM(AH29:AI29)</f>
        <v>16061</v>
      </c>
      <c r="AK29" s="666">
        <f>'[3]int.bevételek RM I'!AM29</f>
        <v>1836748</v>
      </c>
      <c r="AL29" s="666">
        <f>'[3]int.bevételek RM II maradvány'!AS29+10000</f>
        <v>88976</v>
      </c>
      <c r="AM29" s="666">
        <f>SUM(AK29:AL29)</f>
        <v>1925724</v>
      </c>
      <c r="AN29" s="666">
        <f>N29+AA29+AH29+AK29</f>
        <v>2495269</v>
      </c>
      <c r="AO29" s="666">
        <f>O29+AB29+AI29+AL29</f>
        <v>106120</v>
      </c>
      <c r="AP29" s="666">
        <f>P29+AC29+AJ29+AM29</f>
        <v>2601389</v>
      </c>
    </row>
    <row r="30" spans="1:42" ht="67.5" customHeight="1" thickBot="1" x14ac:dyDescent="0.75">
      <c r="A30" s="677" t="s">
        <v>628</v>
      </c>
      <c r="B30" s="672">
        <f t="shared" ref="B30:P30" si="16">B28+B29</f>
        <v>679305</v>
      </c>
      <c r="C30" s="672">
        <f t="shared" si="16"/>
        <v>884</v>
      </c>
      <c r="D30" s="672">
        <f t="shared" si="16"/>
        <v>680189</v>
      </c>
      <c r="E30" s="672">
        <f t="shared" si="16"/>
        <v>0</v>
      </c>
      <c r="F30" s="672">
        <f t="shared" si="16"/>
        <v>1048</v>
      </c>
      <c r="G30" s="672">
        <f t="shared" si="16"/>
        <v>1048</v>
      </c>
      <c r="H30" s="672">
        <f t="shared" si="16"/>
        <v>0</v>
      </c>
      <c r="I30" s="672">
        <f t="shared" si="16"/>
        <v>381</v>
      </c>
      <c r="J30" s="672">
        <f t="shared" si="16"/>
        <v>381</v>
      </c>
      <c r="K30" s="672">
        <f t="shared" si="16"/>
        <v>0</v>
      </c>
      <c r="L30" s="672">
        <f t="shared" si="16"/>
        <v>0</v>
      </c>
      <c r="M30" s="672">
        <f t="shared" si="16"/>
        <v>0</v>
      </c>
      <c r="N30" s="672">
        <f t="shared" si="16"/>
        <v>679305</v>
      </c>
      <c r="O30" s="672">
        <f t="shared" si="16"/>
        <v>2313</v>
      </c>
      <c r="P30" s="672">
        <f t="shared" si="16"/>
        <v>681618</v>
      </c>
      <c r="Q30" s="677" t="s">
        <v>628</v>
      </c>
      <c r="R30" s="672">
        <f t="shared" ref="R30:AC30" si="17">R28+R29</f>
        <v>0</v>
      </c>
      <c r="S30" s="672">
        <f t="shared" si="17"/>
        <v>35</v>
      </c>
      <c r="T30" s="672">
        <f t="shared" si="17"/>
        <v>35</v>
      </c>
      <c r="U30" s="672">
        <f t="shared" si="17"/>
        <v>0</v>
      </c>
      <c r="V30" s="672">
        <f t="shared" si="17"/>
        <v>0</v>
      </c>
      <c r="W30" s="672">
        <f t="shared" si="17"/>
        <v>0</v>
      </c>
      <c r="X30" s="672">
        <f t="shared" si="17"/>
        <v>0</v>
      </c>
      <c r="Y30" s="672">
        <f t="shared" si="17"/>
        <v>0</v>
      </c>
      <c r="Z30" s="672">
        <f t="shared" si="17"/>
        <v>0</v>
      </c>
      <c r="AA30" s="672">
        <f t="shared" si="17"/>
        <v>0</v>
      </c>
      <c r="AB30" s="672">
        <f t="shared" si="17"/>
        <v>35</v>
      </c>
      <c r="AC30" s="672">
        <f t="shared" si="17"/>
        <v>35</v>
      </c>
      <c r="AD30" s="673">
        <f t="shared" si="10"/>
        <v>679305</v>
      </c>
      <c r="AE30" s="673">
        <f t="shared" si="10"/>
        <v>2348</v>
      </c>
      <c r="AF30" s="672">
        <f t="shared" si="10"/>
        <v>681653</v>
      </c>
      <c r="AG30" s="677" t="s">
        <v>628</v>
      </c>
      <c r="AH30" s="672">
        <f>AH28+AH29</f>
        <v>0</v>
      </c>
      <c r="AI30" s="672">
        <f>AI28+AI29</f>
        <v>52705</v>
      </c>
      <c r="AJ30" s="672">
        <f>AJ28+AJ29</f>
        <v>52705</v>
      </c>
      <c r="AK30" s="672">
        <f t="shared" ref="AK30:AP30" si="18">AK28+AK29</f>
        <v>5356864</v>
      </c>
      <c r="AL30" s="672">
        <f t="shared" si="18"/>
        <v>163694</v>
      </c>
      <c r="AM30" s="672">
        <f t="shared" si="18"/>
        <v>5520558</v>
      </c>
      <c r="AN30" s="672">
        <f t="shared" si="18"/>
        <v>6036169</v>
      </c>
      <c r="AO30" s="672">
        <f t="shared" si="18"/>
        <v>218747</v>
      </c>
      <c r="AP30" s="672">
        <f t="shared" si="18"/>
        <v>6254916</v>
      </c>
    </row>
    <row r="31" spans="1:42" ht="48.75" customHeight="1" x14ac:dyDescent="0.7">
      <c r="A31" s="661" t="s">
        <v>629</v>
      </c>
      <c r="B31" s="678"/>
      <c r="C31" s="662"/>
      <c r="D31" s="662"/>
      <c r="E31" s="662"/>
      <c r="F31" s="662"/>
      <c r="G31" s="662"/>
      <c r="H31" s="678"/>
      <c r="I31" s="678"/>
      <c r="J31" s="662"/>
      <c r="K31" s="678"/>
      <c r="L31" s="678"/>
      <c r="M31" s="662"/>
      <c r="N31" s="662"/>
      <c r="O31" s="662"/>
      <c r="P31" s="678"/>
      <c r="Q31" s="661" t="s">
        <v>629</v>
      </c>
      <c r="R31" s="678"/>
      <c r="S31" s="662"/>
      <c r="T31" s="662"/>
      <c r="U31" s="662"/>
      <c r="V31" s="662"/>
      <c r="W31" s="678"/>
      <c r="X31" s="678"/>
      <c r="Y31" s="662"/>
      <c r="Z31" s="662"/>
      <c r="AA31" s="678"/>
      <c r="AB31" s="662"/>
      <c r="AC31" s="678"/>
      <c r="AD31" s="678"/>
      <c r="AE31" s="678"/>
      <c r="AF31" s="678"/>
      <c r="AG31" s="679" t="s">
        <v>629</v>
      </c>
      <c r="AH31" s="662"/>
      <c r="AI31" s="678"/>
      <c r="AJ31" s="662"/>
      <c r="AK31" s="678"/>
      <c r="AL31" s="678"/>
      <c r="AM31" s="678"/>
      <c r="AN31" s="662"/>
      <c r="AO31" s="662"/>
      <c r="AP31" s="678"/>
    </row>
    <row r="32" spans="1:42" ht="48.75" customHeight="1" x14ac:dyDescent="0.7">
      <c r="A32" s="680" t="s">
        <v>630</v>
      </c>
      <c r="B32" s="678"/>
      <c r="C32" s="678"/>
      <c r="D32" s="681"/>
      <c r="E32" s="678"/>
      <c r="F32" s="678"/>
      <c r="G32" s="678"/>
      <c r="H32" s="678"/>
      <c r="I32" s="678"/>
      <c r="J32" s="678"/>
      <c r="K32" s="678"/>
      <c r="L32" s="678"/>
      <c r="M32" s="678"/>
      <c r="N32" s="678"/>
      <c r="O32" s="678"/>
      <c r="P32" s="678"/>
      <c r="Q32" s="682" t="s">
        <v>630</v>
      </c>
      <c r="R32" s="678"/>
      <c r="S32" s="678"/>
      <c r="T32" s="678"/>
      <c r="U32" s="678"/>
      <c r="V32" s="678"/>
      <c r="W32" s="678"/>
      <c r="X32" s="678"/>
      <c r="Y32" s="678"/>
      <c r="Z32" s="678"/>
      <c r="AA32" s="678"/>
      <c r="AB32" s="678"/>
      <c r="AC32" s="678"/>
      <c r="AD32" s="678"/>
      <c r="AE32" s="678"/>
      <c r="AF32" s="678"/>
      <c r="AG32" s="682" t="s">
        <v>630</v>
      </c>
      <c r="AH32" s="678"/>
      <c r="AI32" s="678"/>
      <c r="AJ32" s="678"/>
      <c r="AK32" s="678"/>
      <c r="AL32" s="678"/>
      <c r="AM32" s="678"/>
      <c r="AN32" s="678"/>
      <c r="AO32" s="678"/>
      <c r="AP32" s="678"/>
    </row>
    <row r="33" spans="1:155" ht="48.75" customHeight="1" x14ac:dyDescent="0.7">
      <c r="A33" s="683" t="s">
        <v>98</v>
      </c>
      <c r="B33" s="665">
        <f>'[3]int.bevételek RM I'!D33</f>
        <v>28471</v>
      </c>
      <c r="C33" s="665"/>
      <c r="D33" s="665">
        <f>SUM(B33:C33)</f>
        <v>28471</v>
      </c>
      <c r="E33" s="665">
        <f>'[3]int.bevételek RM I'!G33</f>
        <v>0</v>
      </c>
      <c r="F33" s="665"/>
      <c r="G33" s="665">
        <f>SUM(E33:F33)</f>
        <v>0</v>
      </c>
      <c r="H33" s="665">
        <f>'[3]int.bevételek RM I'!J33</f>
        <v>0</v>
      </c>
      <c r="I33" s="665"/>
      <c r="J33" s="665">
        <f>SUM(H33:I33)</f>
        <v>0</v>
      </c>
      <c r="K33" s="669">
        <f>'[3]int.bevételek RM I'!M33</f>
        <v>0</v>
      </c>
      <c r="L33" s="669"/>
      <c r="M33" s="665">
        <f>SUM(K33:L33)</f>
        <v>0</v>
      </c>
      <c r="N33" s="666">
        <f t="shared" ref="N33:O36" si="19">B33+E33+H33+K33</f>
        <v>28471</v>
      </c>
      <c r="O33" s="666">
        <f t="shared" si="19"/>
        <v>0</v>
      </c>
      <c r="P33" s="666">
        <f>D33+G33+J33+M33</f>
        <v>28471</v>
      </c>
      <c r="Q33" s="683" t="s">
        <v>98</v>
      </c>
      <c r="R33" s="665">
        <f>'[3]int.bevételek RM I'!T33</f>
        <v>0</v>
      </c>
      <c r="S33" s="665"/>
      <c r="T33" s="665">
        <f>SUM(R33:S33)</f>
        <v>0</v>
      </c>
      <c r="U33" s="665">
        <f>'[3]int.bevételek RM I'!W33</f>
        <v>0</v>
      </c>
      <c r="V33" s="665"/>
      <c r="W33" s="665">
        <f>SUM(U33:V33)</f>
        <v>0</v>
      </c>
      <c r="X33" s="665">
        <f>'[3]int.bevételek RM I'!Z33</f>
        <v>0</v>
      </c>
      <c r="Y33" s="665"/>
      <c r="Z33" s="665">
        <f>SUM(X33:Y33)</f>
        <v>0</v>
      </c>
      <c r="AA33" s="666">
        <f t="shared" ref="AA33:AC36" si="20">R33+U33+X33</f>
        <v>0</v>
      </c>
      <c r="AB33" s="666">
        <f t="shared" si="20"/>
        <v>0</v>
      </c>
      <c r="AC33" s="666">
        <f t="shared" si="20"/>
        <v>0</v>
      </c>
      <c r="AD33" s="666">
        <f t="shared" si="10"/>
        <v>28471</v>
      </c>
      <c r="AE33" s="666">
        <f t="shared" si="10"/>
        <v>0</v>
      </c>
      <c r="AF33" s="666">
        <f t="shared" si="10"/>
        <v>28471</v>
      </c>
      <c r="AG33" s="683" t="s">
        <v>98</v>
      </c>
      <c r="AH33" s="665">
        <f>'[3]int.bevételek RM I'!AJ33</f>
        <v>0</v>
      </c>
      <c r="AI33" s="665">
        <f>'[3]int.bevételek RM II maradvány'!AI33</f>
        <v>38505</v>
      </c>
      <c r="AJ33" s="665">
        <f>SUM(AH33:AI33)</f>
        <v>38505</v>
      </c>
      <c r="AK33" s="666">
        <f>'[3]int.bevételek RM I'!AM33</f>
        <v>134055</v>
      </c>
      <c r="AL33" s="666">
        <f>'[3]int.bevételek RM II maradvány'!AS33+47981</f>
        <v>63757</v>
      </c>
      <c r="AM33" s="666">
        <f>SUM(AK33:AL33)</f>
        <v>197812</v>
      </c>
      <c r="AN33" s="666">
        <f t="shared" ref="AN33:AP36" si="21">N33+AA33+AH33+AK33</f>
        <v>162526</v>
      </c>
      <c r="AO33" s="666">
        <f t="shared" si="21"/>
        <v>102262</v>
      </c>
      <c r="AP33" s="666">
        <f t="shared" si="21"/>
        <v>264788</v>
      </c>
    </row>
    <row r="34" spans="1:155" ht="48.75" customHeight="1" x14ac:dyDescent="0.7">
      <c r="A34" s="667" t="s">
        <v>631</v>
      </c>
      <c r="B34" s="665">
        <f>'[3]int.bevételek RM I'!D34</f>
        <v>113344</v>
      </c>
      <c r="C34" s="685"/>
      <c r="D34" s="685">
        <f>SUM(B34:C34)</f>
        <v>113344</v>
      </c>
      <c r="E34" s="665">
        <f>'[3]int.bevételek RM I'!G34</f>
        <v>0</v>
      </c>
      <c r="F34" s="685"/>
      <c r="G34" s="685">
        <f>SUM(E34:F34)</f>
        <v>0</v>
      </c>
      <c r="H34" s="685">
        <f>'[3]int.bevételek RM I'!J34</f>
        <v>0</v>
      </c>
      <c r="I34" s="685"/>
      <c r="J34" s="685">
        <f>SUM(H34:I34)</f>
        <v>0</v>
      </c>
      <c r="K34" s="685">
        <f>'[3]int.bevételek RM I'!M34</f>
        <v>0</v>
      </c>
      <c r="L34" s="685"/>
      <c r="M34" s="665">
        <f>SUM(K34:L34)</f>
        <v>0</v>
      </c>
      <c r="N34" s="666">
        <f t="shared" si="19"/>
        <v>113344</v>
      </c>
      <c r="O34" s="666">
        <f t="shared" si="19"/>
        <v>0</v>
      </c>
      <c r="P34" s="666">
        <f>D34+G34+J34+M34</f>
        <v>113344</v>
      </c>
      <c r="Q34" s="667" t="s">
        <v>631</v>
      </c>
      <c r="R34" s="685">
        <f>'[3]int.bevételek RM I'!T34</f>
        <v>0</v>
      </c>
      <c r="S34" s="685"/>
      <c r="T34" s="685">
        <f>SUM(R34:S34)</f>
        <v>0</v>
      </c>
      <c r="U34" s="685">
        <f>'[3]int.bevételek RM I'!W34</f>
        <v>0</v>
      </c>
      <c r="V34" s="685"/>
      <c r="W34" s="685">
        <f>SUM(U34:V34)</f>
        <v>0</v>
      </c>
      <c r="X34" s="685">
        <f>'[3]int.bevételek RM I'!Z34</f>
        <v>0</v>
      </c>
      <c r="Y34" s="685"/>
      <c r="Z34" s="685">
        <f>SUM(X34:Y34)</f>
        <v>0</v>
      </c>
      <c r="AA34" s="666">
        <f t="shared" si="20"/>
        <v>0</v>
      </c>
      <c r="AB34" s="666">
        <f t="shared" si="20"/>
        <v>0</v>
      </c>
      <c r="AC34" s="666">
        <f t="shared" si="20"/>
        <v>0</v>
      </c>
      <c r="AD34" s="666">
        <f t="shared" si="10"/>
        <v>113344</v>
      </c>
      <c r="AE34" s="666">
        <f t="shared" si="10"/>
        <v>0</v>
      </c>
      <c r="AF34" s="666">
        <f t="shared" si="10"/>
        <v>113344</v>
      </c>
      <c r="AG34" s="667" t="s">
        <v>631</v>
      </c>
      <c r="AH34" s="665">
        <f>'[3]int.bevételek RM I'!AJ34</f>
        <v>0</v>
      </c>
      <c r="AI34" s="665">
        <f>'[3]int.bevételek RM II maradvány'!AI34</f>
        <v>211042</v>
      </c>
      <c r="AJ34" s="665">
        <f>SUM(AH34:AI34)</f>
        <v>211042</v>
      </c>
      <c r="AK34" s="666">
        <f>'[3]int.bevételek RM I'!AM34</f>
        <v>468016</v>
      </c>
      <c r="AL34" s="666">
        <f>'[3]int.bevételek RM II maradvány'!AS34+77726</f>
        <v>110026</v>
      </c>
      <c r="AM34" s="666">
        <f>SUM(AK34:AL34)</f>
        <v>578042</v>
      </c>
      <c r="AN34" s="666">
        <f t="shared" si="21"/>
        <v>581360</v>
      </c>
      <c r="AO34" s="666">
        <f t="shared" si="21"/>
        <v>321068</v>
      </c>
      <c r="AP34" s="666">
        <f t="shared" si="21"/>
        <v>902428</v>
      </c>
    </row>
    <row r="35" spans="1:155" ht="48.75" customHeight="1" x14ac:dyDescent="0.7">
      <c r="A35" s="667" t="s">
        <v>632</v>
      </c>
      <c r="B35" s="665">
        <f>'[3]int.bevételek RM I'!D35</f>
        <v>32900</v>
      </c>
      <c r="C35" s="685"/>
      <c r="D35" s="685">
        <f>SUM(B35:C35)</f>
        <v>32900</v>
      </c>
      <c r="E35" s="665">
        <f>'[3]int.bevételek RM I'!G35</f>
        <v>0</v>
      </c>
      <c r="F35" s="685"/>
      <c r="G35" s="685">
        <f>SUM(E35:F35)</f>
        <v>0</v>
      </c>
      <c r="H35" s="685">
        <f>'[3]int.bevételek RM I'!J35</f>
        <v>0</v>
      </c>
      <c r="I35" s="685"/>
      <c r="J35" s="685">
        <f>SUM(H35:I35)</f>
        <v>0</v>
      </c>
      <c r="K35" s="685">
        <f>'[3]int.bevételek RM I'!M35</f>
        <v>0</v>
      </c>
      <c r="L35" s="685"/>
      <c r="M35" s="665">
        <f>SUM(K35:L35)</f>
        <v>0</v>
      </c>
      <c r="N35" s="666">
        <f t="shared" si="19"/>
        <v>32900</v>
      </c>
      <c r="O35" s="666">
        <f t="shared" si="19"/>
        <v>0</v>
      </c>
      <c r="P35" s="666">
        <f>D35+G35+J35+M35</f>
        <v>32900</v>
      </c>
      <c r="Q35" s="667" t="s">
        <v>632</v>
      </c>
      <c r="R35" s="685">
        <f>'[3]int.bevételek RM I'!T35</f>
        <v>0</v>
      </c>
      <c r="S35" s="685"/>
      <c r="T35" s="685">
        <f>SUM(R35:S35)</f>
        <v>0</v>
      </c>
      <c r="U35" s="685">
        <f>'[3]int.bevételek RM I'!W35</f>
        <v>0</v>
      </c>
      <c r="V35" s="685"/>
      <c r="W35" s="685">
        <f>SUM(U35:V35)</f>
        <v>0</v>
      </c>
      <c r="X35" s="685">
        <f>'[3]int.bevételek RM I'!Z35</f>
        <v>0</v>
      </c>
      <c r="Y35" s="685"/>
      <c r="Z35" s="685">
        <f>SUM(X35:Y35)</f>
        <v>0</v>
      </c>
      <c r="AA35" s="666">
        <f t="shared" si="20"/>
        <v>0</v>
      </c>
      <c r="AB35" s="666">
        <f t="shared" si="20"/>
        <v>0</v>
      </c>
      <c r="AC35" s="666">
        <f t="shared" si="20"/>
        <v>0</v>
      </c>
      <c r="AD35" s="666">
        <f t="shared" si="10"/>
        <v>32900</v>
      </c>
      <c r="AE35" s="666">
        <f t="shared" si="10"/>
        <v>0</v>
      </c>
      <c r="AF35" s="666">
        <f t="shared" si="10"/>
        <v>32900</v>
      </c>
      <c r="AG35" s="667" t="s">
        <v>632</v>
      </c>
      <c r="AH35" s="685">
        <f>'[3]int.bevételek RM I'!AJ35</f>
        <v>0</v>
      </c>
      <c r="AI35" s="685">
        <f>'[3]int.bevételek RM II maradvány'!AI35</f>
        <v>23795</v>
      </c>
      <c r="AJ35" s="685">
        <f>SUM(AH35:AI35)</f>
        <v>23795</v>
      </c>
      <c r="AK35" s="666">
        <f>'[3]int.bevételek RM I'!AM35</f>
        <v>291995</v>
      </c>
      <c r="AL35" s="666">
        <f>'[3]int.bevételek RM II maradvány'!AS35+180713</f>
        <v>185543</v>
      </c>
      <c r="AM35" s="666">
        <f>SUM(AK35:AL35)</f>
        <v>477538</v>
      </c>
      <c r="AN35" s="666">
        <f t="shared" si="21"/>
        <v>324895</v>
      </c>
      <c r="AO35" s="666">
        <f t="shared" si="21"/>
        <v>209338</v>
      </c>
      <c r="AP35" s="666">
        <f t="shared" si="21"/>
        <v>534233</v>
      </c>
    </row>
    <row r="36" spans="1:155" ht="48.75" customHeight="1" thickBot="1" x14ac:dyDescent="0.75">
      <c r="A36" s="686" t="s">
        <v>458</v>
      </c>
      <c r="B36" s="665">
        <f>'[3]int.bevételek RM I'!D36</f>
        <v>154078</v>
      </c>
      <c r="C36" s="685"/>
      <c r="D36" s="685">
        <f>SUM(B36:C36)</f>
        <v>154078</v>
      </c>
      <c r="E36" s="665">
        <f>'[3]int.bevételek RM I'!G36</f>
        <v>0</v>
      </c>
      <c r="F36" s="685">
        <v>13406</v>
      </c>
      <c r="G36" s="685">
        <f>SUM(E36:F36)</f>
        <v>13406</v>
      </c>
      <c r="H36" s="685">
        <f>'[3]int.bevételek RM I'!J36</f>
        <v>0</v>
      </c>
      <c r="I36" s="685"/>
      <c r="J36" s="685">
        <f>SUM(H36:I36)</f>
        <v>0</v>
      </c>
      <c r="K36" s="687">
        <f>'[3]int.bevételek RM I'!M36</f>
        <v>0</v>
      </c>
      <c r="L36" s="687"/>
      <c r="M36" s="665">
        <f>SUM(K36:L36)</f>
        <v>0</v>
      </c>
      <c r="N36" s="666">
        <f t="shared" si="19"/>
        <v>154078</v>
      </c>
      <c r="O36" s="666">
        <f t="shared" si="19"/>
        <v>13406</v>
      </c>
      <c r="P36" s="666">
        <f>D36+G36+J36+M36</f>
        <v>167484</v>
      </c>
      <c r="Q36" s="686" t="s">
        <v>458</v>
      </c>
      <c r="R36" s="685">
        <f>'[3]int.bevételek RM I'!T36</f>
        <v>0</v>
      </c>
      <c r="S36" s="685"/>
      <c r="T36" s="685">
        <f>SUM(R36:S36)</f>
        <v>0</v>
      </c>
      <c r="U36" s="685">
        <f>'[3]int.bevételek RM I'!W36</f>
        <v>0</v>
      </c>
      <c r="V36" s="685"/>
      <c r="W36" s="685">
        <f>SUM(U36:V36)</f>
        <v>0</v>
      </c>
      <c r="X36" s="685">
        <f>'[3]int.bevételek RM I'!Z36</f>
        <v>0</v>
      </c>
      <c r="Y36" s="685"/>
      <c r="Z36" s="685">
        <f>SUM(X36:Y36)</f>
        <v>0</v>
      </c>
      <c r="AA36" s="666">
        <f t="shared" si="20"/>
        <v>0</v>
      </c>
      <c r="AB36" s="666">
        <f t="shared" si="20"/>
        <v>0</v>
      </c>
      <c r="AC36" s="666">
        <f t="shared" si="20"/>
        <v>0</v>
      </c>
      <c r="AD36" s="678">
        <f t="shared" si="10"/>
        <v>154078</v>
      </c>
      <c r="AE36" s="678">
        <f t="shared" si="10"/>
        <v>13406</v>
      </c>
      <c r="AF36" s="678">
        <f t="shared" si="10"/>
        <v>167484</v>
      </c>
      <c r="AG36" s="686" t="s">
        <v>458</v>
      </c>
      <c r="AH36" s="685">
        <f>'[3]int.bevételek RM I'!AJ36</f>
        <v>0</v>
      </c>
      <c r="AI36" s="685">
        <f>'[3]int.bevételek RM II maradvány'!AI36</f>
        <v>107927</v>
      </c>
      <c r="AJ36" s="685">
        <f>SUM(AH36:AI36)</f>
        <v>107927</v>
      </c>
      <c r="AK36" s="666">
        <f>'[3]int.bevételek RM I'!AM36</f>
        <v>602349</v>
      </c>
      <c r="AL36" s="666">
        <f>'[3]int.bevételek RM II maradvány'!AS36+80060</f>
        <v>102094</v>
      </c>
      <c r="AM36" s="666">
        <f>SUM(AK36:AL36)</f>
        <v>704443</v>
      </c>
      <c r="AN36" s="666">
        <f t="shared" si="21"/>
        <v>756427</v>
      </c>
      <c r="AO36" s="666">
        <f t="shared" si="21"/>
        <v>223427</v>
      </c>
      <c r="AP36" s="666">
        <f t="shared" si="21"/>
        <v>979854</v>
      </c>
    </row>
    <row r="37" spans="1:155" ht="61.5" customHeight="1" thickBot="1" x14ac:dyDescent="0.75">
      <c r="A37" s="688" t="s">
        <v>633</v>
      </c>
      <c r="B37" s="672">
        <f t="shared" ref="B37:P37" si="22">SUM(B33:B36)</f>
        <v>328793</v>
      </c>
      <c r="C37" s="672">
        <f t="shared" si="22"/>
        <v>0</v>
      </c>
      <c r="D37" s="672">
        <f t="shared" si="22"/>
        <v>328793</v>
      </c>
      <c r="E37" s="672">
        <f t="shared" si="22"/>
        <v>0</v>
      </c>
      <c r="F37" s="672">
        <f t="shared" si="22"/>
        <v>13406</v>
      </c>
      <c r="G37" s="672">
        <f t="shared" si="22"/>
        <v>13406</v>
      </c>
      <c r="H37" s="672">
        <f t="shared" si="22"/>
        <v>0</v>
      </c>
      <c r="I37" s="672">
        <f t="shared" si="22"/>
        <v>0</v>
      </c>
      <c r="J37" s="672">
        <f t="shared" si="22"/>
        <v>0</v>
      </c>
      <c r="K37" s="672">
        <f t="shared" si="22"/>
        <v>0</v>
      </c>
      <c r="L37" s="672">
        <f t="shared" si="22"/>
        <v>0</v>
      </c>
      <c r="M37" s="672">
        <f t="shared" si="22"/>
        <v>0</v>
      </c>
      <c r="N37" s="672">
        <f t="shared" si="22"/>
        <v>328793</v>
      </c>
      <c r="O37" s="672">
        <f t="shared" si="22"/>
        <v>13406</v>
      </c>
      <c r="P37" s="672">
        <f t="shared" si="22"/>
        <v>342199</v>
      </c>
      <c r="Q37" s="688" t="s">
        <v>633</v>
      </c>
      <c r="R37" s="672">
        <f t="shared" ref="R37:AC37" si="23">SUM(R33:R36)</f>
        <v>0</v>
      </c>
      <c r="S37" s="672">
        <f t="shared" si="23"/>
        <v>0</v>
      </c>
      <c r="T37" s="672">
        <f t="shared" si="23"/>
        <v>0</v>
      </c>
      <c r="U37" s="672">
        <f t="shared" si="23"/>
        <v>0</v>
      </c>
      <c r="V37" s="672">
        <f t="shared" si="23"/>
        <v>0</v>
      </c>
      <c r="W37" s="672">
        <f t="shared" si="23"/>
        <v>0</v>
      </c>
      <c r="X37" s="672">
        <f t="shared" si="23"/>
        <v>0</v>
      </c>
      <c r="Y37" s="672">
        <f t="shared" si="23"/>
        <v>0</v>
      </c>
      <c r="Z37" s="672">
        <f t="shared" si="23"/>
        <v>0</v>
      </c>
      <c r="AA37" s="672">
        <f t="shared" si="23"/>
        <v>0</v>
      </c>
      <c r="AB37" s="672">
        <f t="shared" si="23"/>
        <v>0</v>
      </c>
      <c r="AC37" s="672">
        <f t="shared" si="23"/>
        <v>0</v>
      </c>
      <c r="AD37" s="672">
        <f t="shared" si="10"/>
        <v>328793</v>
      </c>
      <c r="AE37" s="672">
        <f t="shared" si="10"/>
        <v>13406</v>
      </c>
      <c r="AF37" s="672">
        <f t="shared" si="10"/>
        <v>342199</v>
      </c>
      <c r="AG37" s="688" t="s">
        <v>633</v>
      </c>
      <c r="AH37" s="672">
        <f t="shared" ref="AH37:AP37" si="24">SUM(AH33:AH36)</f>
        <v>0</v>
      </c>
      <c r="AI37" s="672">
        <f t="shared" si="24"/>
        <v>381269</v>
      </c>
      <c r="AJ37" s="672">
        <f t="shared" si="24"/>
        <v>381269</v>
      </c>
      <c r="AK37" s="672">
        <f t="shared" si="24"/>
        <v>1496415</v>
      </c>
      <c r="AL37" s="672">
        <f t="shared" si="24"/>
        <v>461420</v>
      </c>
      <c r="AM37" s="672">
        <f t="shared" si="24"/>
        <v>1957835</v>
      </c>
      <c r="AN37" s="672">
        <f t="shared" si="24"/>
        <v>1825208</v>
      </c>
      <c r="AO37" s="672">
        <f t="shared" si="24"/>
        <v>856095</v>
      </c>
      <c r="AP37" s="672">
        <f t="shared" si="24"/>
        <v>2681303</v>
      </c>
    </row>
    <row r="38" spans="1:155" ht="48" customHeight="1" x14ac:dyDescent="0.7">
      <c r="A38" s="689" t="s">
        <v>634</v>
      </c>
      <c r="B38" s="662"/>
      <c r="C38" s="662"/>
      <c r="D38" s="662"/>
      <c r="E38" s="662"/>
      <c r="F38" s="662"/>
      <c r="G38" s="662"/>
      <c r="H38" s="662"/>
      <c r="I38" s="662"/>
      <c r="J38" s="662"/>
      <c r="K38" s="662"/>
      <c r="L38" s="662"/>
      <c r="M38" s="662"/>
      <c r="N38" s="662"/>
      <c r="O38" s="662"/>
      <c r="P38" s="662"/>
      <c r="Q38" s="689" t="s">
        <v>634</v>
      </c>
      <c r="R38" s="662"/>
      <c r="S38" s="662"/>
      <c r="T38" s="662"/>
      <c r="U38" s="662"/>
      <c r="V38" s="662"/>
      <c r="W38" s="662"/>
      <c r="X38" s="662"/>
      <c r="Y38" s="662"/>
      <c r="Z38" s="662"/>
      <c r="AA38" s="662"/>
      <c r="AB38" s="662"/>
      <c r="AC38" s="662"/>
      <c r="AD38" s="662"/>
      <c r="AE38" s="662"/>
      <c r="AF38" s="662"/>
      <c r="AG38" s="689" t="s">
        <v>634</v>
      </c>
      <c r="AH38" s="662"/>
      <c r="AI38" s="662"/>
      <c r="AJ38" s="662"/>
      <c r="AK38" s="662"/>
      <c r="AL38" s="662"/>
      <c r="AM38" s="662"/>
      <c r="AN38" s="662"/>
      <c r="AO38" s="662"/>
      <c r="AP38" s="662"/>
    </row>
    <row r="39" spans="1:155" ht="93.75" thickBot="1" x14ac:dyDescent="0.75">
      <c r="A39" s="683" t="s">
        <v>473</v>
      </c>
      <c r="B39" s="665">
        <f>'[3]int.bevételek RM I'!D39</f>
        <v>197479</v>
      </c>
      <c r="C39" s="665"/>
      <c r="D39" s="665">
        <f>SUM(B39:C39)</f>
        <v>197479</v>
      </c>
      <c r="E39" s="665">
        <f>'[3]int.bevételek RM I'!G39</f>
        <v>0</v>
      </c>
      <c r="F39" s="665"/>
      <c r="G39" s="665">
        <f>SUM(E39:F39)</f>
        <v>0</v>
      </c>
      <c r="H39" s="665">
        <f>'[3]int.bevételek RM I'!J39</f>
        <v>0</v>
      </c>
      <c r="I39" s="665"/>
      <c r="J39" s="665">
        <f>SUM(H39:I39)</f>
        <v>0</v>
      </c>
      <c r="K39" s="669">
        <f>'[3]int.bevételek RM I'!M39</f>
        <v>0</v>
      </c>
      <c r="L39" s="669"/>
      <c r="M39" s="669">
        <f>SUM(K39:L39)</f>
        <v>0</v>
      </c>
      <c r="N39" s="666">
        <f>B39+E39+H39+K39</f>
        <v>197479</v>
      </c>
      <c r="O39" s="666">
        <f>C39+F39+I39+L39</f>
        <v>0</v>
      </c>
      <c r="P39" s="666">
        <f>D39+G39+J39+M39</f>
        <v>197479</v>
      </c>
      <c r="Q39" s="683" t="s">
        <v>473</v>
      </c>
      <c r="R39" s="665">
        <f>'[3]int.bevételek RM I'!T39</f>
        <v>0</v>
      </c>
      <c r="S39" s="665"/>
      <c r="T39" s="665">
        <f>SUM(R39:S39)</f>
        <v>0</v>
      </c>
      <c r="U39" s="665">
        <f>'[3]int.bevételek RM I'!W39</f>
        <v>0</v>
      </c>
      <c r="V39" s="665"/>
      <c r="W39" s="665">
        <f>SUM(U39:V39)</f>
        <v>0</v>
      </c>
      <c r="X39" s="665">
        <f>'[3]int.bevételek RM I'!Z39</f>
        <v>0</v>
      </c>
      <c r="Y39" s="665"/>
      <c r="Z39" s="665">
        <f>SUM(X39:Y39)</f>
        <v>0</v>
      </c>
      <c r="AA39" s="666">
        <f>R39+U39+X39</f>
        <v>0</v>
      </c>
      <c r="AB39" s="666">
        <f>S39+V39+Y39</f>
        <v>0</v>
      </c>
      <c r="AC39" s="666">
        <f>T39+W39+Z39</f>
        <v>0</v>
      </c>
      <c r="AD39" s="678">
        <f>N39+AA39</f>
        <v>197479</v>
      </c>
      <c r="AE39" s="678">
        <f>O39+AB39</f>
        <v>0</v>
      </c>
      <c r="AF39" s="678">
        <f>P39+AC39</f>
        <v>197479</v>
      </c>
      <c r="AG39" s="683" t="s">
        <v>473</v>
      </c>
      <c r="AH39" s="690">
        <f>'[3]int.bevételek RM I'!AJ39</f>
        <v>0</v>
      </c>
      <c r="AI39" s="690">
        <f>'[3]int.bevételek RM II maradvány'!AI39</f>
        <v>1947</v>
      </c>
      <c r="AJ39" s="690">
        <f>SUM(AH39:AI39)</f>
        <v>1947</v>
      </c>
      <c r="AK39" s="666">
        <f>'[3]int.bevételek RM I'!AM39</f>
        <v>1520185</v>
      </c>
      <c r="AL39" s="666">
        <f>'[3]int.bevételek RM II maradvány'!AS39+92399</f>
        <v>147193</v>
      </c>
      <c r="AM39" s="666">
        <f>SUM(AK39:AL39)</f>
        <v>1667378</v>
      </c>
      <c r="AN39" s="666">
        <f>N39+AA39+AH39+AK39</f>
        <v>1717664</v>
      </c>
      <c r="AO39" s="666">
        <f>O39+AB39+AI39+AL39</f>
        <v>149140</v>
      </c>
      <c r="AP39" s="666">
        <f>P39+AC39+AJ39+AM39</f>
        <v>1866804</v>
      </c>
    </row>
    <row r="40" spans="1:155" ht="61.5" customHeight="1" x14ac:dyDescent="0.7">
      <c r="A40" s="689" t="s">
        <v>635</v>
      </c>
      <c r="B40" s="662"/>
      <c r="C40" s="662"/>
      <c r="D40" s="691"/>
      <c r="E40" s="662"/>
      <c r="F40" s="692"/>
      <c r="G40" s="662"/>
      <c r="H40" s="662"/>
      <c r="I40" s="662"/>
      <c r="J40" s="662"/>
      <c r="K40" s="662"/>
      <c r="L40" s="662"/>
      <c r="M40" s="662"/>
      <c r="N40" s="662"/>
      <c r="O40" s="662"/>
      <c r="P40" s="662"/>
      <c r="Q40" s="689" t="s">
        <v>635</v>
      </c>
      <c r="R40" s="662"/>
      <c r="S40" s="662"/>
      <c r="T40" s="662"/>
      <c r="U40" s="662"/>
      <c r="V40" s="662"/>
      <c r="W40" s="662"/>
      <c r="X40" s="662"/>
      <c r="Y40" s="662"/>
      <c r="Z40" s="662"/>
      <c r="AA40" s="662"/>
      <c r="AB40" s="662"/>
      <c r="AC40" s="662"/>
      <c r="AD40" s="662"/>
      <c r="AE40" s="662"/>
      <c r="AF40" s="662"/>
      <c r="AG40" s="689" t="s">
        <v>635</v>
      </c>
      <c r="AH40" s="662"/>
      <c r="AI40" s="662"/>
      <c r="AJ40" s="662"/>
      <c r="AK40" s="662">
        <f>'[3]int.bevételek RM I'!AM40</f>
        <v>0</v>
      </c>
      <c r="AL40" s="662"/>
      <c r="AM40" s="662"/>
      <c r="AN40" s="662"/>
      <c r="AO40" s="662"/>
      <c r="AP40" s="662"/>
    </row>
    <row r="41" spans="1:155" ht="48.75" customHeight="1" thickBot="1" x14ac:dyDescent="0.75">
      <c r="A41" s="693" t="s">
        <v>636</v>
      </c>
      <c r="B41" s="690">
        <f>'[3]int.bevételek RM I'!D41</f>
        <v>39495</v>
      </c>
      <c r="C41" s="690"/>
      <c r="D41" s="694">
        <f>SUM(B41:C41)</f>
        <v>39495</v>
      </c>
      <c r="E41" s="690">
        <f>'[3]int.bevételek RM I'!G41</f>
        <v>449270</v>
      </c>
      <c r="F41" s="695"/>
      <c r="G41" s="690">
        <f>SUM(E41:F41)</f>
        <v>449270</v>
      </c>
      <c r="H41" s="690">
        <f>'[3]int.bevételek RM I'!J41</f>
        <v>0</v>
      </c>
      <c r="I41" s="690"/>
      <c r="J41" s="690">
        <f>SUM(H41:I41)</f>
        <v>0</v>
      </c>
      <c r="K41" s="690">
        <f>'[3]int.bevételek RM I'!M41</f>
        <v>0</v>
      </c>
      <c r="L41" s="690"/>
      <c r="M41" s="690">
        <f>SUM(K41:L41)</f>
        <v>0</v>
      </c>
      <c r="N41" s="684">
        <f>B41+E41+H41+K41</f>
        <v>488765</v>
      </c>
      <c r="O41" s="684">
        <f>C41+F41+I41+L41</f>
        <v>0</v>
      </c>
      <c r="P41" s="684">
        <f>D41+G41+J41+M41</f>
        <v>488765</v>
      </c>
      <c r="Q41" s="696" t="s">
        <v>636</v>
      </c>
      <c r="R41" s="690">
        <f>'[3]int.bevételek RM I'!T41</f>
        <v>0</v>
      </c>
      <c r="S41" s="690"/>
      <c r="T41" s="690">
        <f>SUM(R41:S41)</f>
        <v>0</v>
      </c>
      <c r="U41" s="690">
        <f>'[3]int.bevételek RM I'!W41</f>
        <v>0</v>
      </c>
      <c r="V41" s="690"/>
      <c r="W41" s="690">
        <f>SUM(U41:V41)</f>
        <v>0</v>
      </c>
      <c r="X41" s="690">
        <f>'[3]int.bevételek RM I'!Z41</f>
        <v>0</v>
      </c>
      <c r="Y41" s="690"/>
      <c r="Z41" s="690"/>
      <c r="AA41" s="684">
        <f>R41+U41+X41</f>
        <v>0</v>
      </c>
      <c r="AB41" s="684">
        <f>S41+V41+Y41</f>
        <v>0</v>
      </c>
      <c r="AC41" s="684">
        <f>T41+W41+Z41</f>
        <v>0</v>
      </c>
      <c r="AD41" s="684">
        <f>N41+AA41</f>
        <v>488765</v>
      </c>
      <c r="AE41" s="684">
        <f>O41+AB41</f>
        <v>0</v>
      </c>
      <c r="AF41" s="684">
        <f>P41+AC41</f>
        <v>488765</v>
      </c>
      <c r="AG41" s="696" t="s">
        <v>636</v>
      </c>
      <c r="AH41" s="690">
        <f>'[3]int.bevételek RM I'!AJ41</f>
        <v>0</v>
      </c>
      <c r="AI41" s="690">
        <f>'[3]int.bevételek RM II maradvány'!AI41</f>
        <v>215298</v>
      </c>
      <c r="AJ41" s="690">
        <f>SUM(AH41:AI41)</f>
        <v>215298</v>
      </c>
      <c r="AK41" s="684">
        <f>'[3]int.bevételek RM I'!AM41</f>
        <v>356057</v>
      </c>
      <c r="AL41" s="684">
        <f>'[3]int.bevételek RM II maradvány'!AS41+12500</f>
        <v>-16385</v>
      </c>
      <c r="AM41" s="684">
        <f>SUM(AK41:AL41)</f>
        <v>339672</v>
      </c>
      <c r="AN41" s="684">
        <f>N41+AA41+AH41+AK41</f>
        <v>844822</v>
      </c>
      <c r="AO41" s="684">
        <f>O41+AB41+AI41+AL41</f>
        <v>198913</v>
      </c>
      <c r="AP41" s="684">
        <f>P41+AC41+AJ41+AM41</f>
        <v>1043735</v>
      </c>
    </row>
    <row r="42" spans="1:155" ht="48" customHeight="1" x14ac:dyDescent="0.7">
      <c r="A42" s="689" t="s">
        <v>637</v>
      </c>
      <c r="B42" s="678"/>
      <c r="C42" s="678"/>
      <c r="D42" s="697"/>
      <c r="E42" s="678"/>
      <c r="F42" s="681"/>
      <c r="G42" s="678"/>
      <c r="H42" s="678"/>
      <c r="I42" s="678"/>
      <c r="J42" s="678"/>
      <c r="K42" s="678"/>
      <c r="L42" s="678"/>
      <c r="M42" s="678"/>
      <c r="N42" s="678"/>
      <c r="O42" s="678"/>
      <c r="P42" s="678"/>
      <c r="Q42" s="682" t="s">
        <v>637</v>
      </c>
      <c r="R42" s="678"/>
      <c r="S42" s="678"/>
      <c r="T42" s="678"/>
      <c r="U42" s="678"/>
      <c r="V42" s="678"/>
      <c r="W42" s="678"/>
      <c r="X42" s="678"/>
      <c r="Y42" s="678"/>
      <c r="Z42" s="678"/>
      <c r="AA42" s="678"/>
      <c r="AB42" s="678"/>
      <c r="AC42" s="678"/>
      <c r="AD42" s="678"/>
      <c r="AE42" s="678"/>
      <c r="AF42" s="678"/>
      <c r="AG42" s="682" t="s">
        <v>637</v>
      </c>
      <c r="AH42" s="678"/>
      <c r="AI42" s="678"/>
      <c r="AJ42" s="678"/>
      <c r="AK42" s="678">
        <f>'[3]int.bevételek RM I'!AM42</f>
        <v>0</v>
      </c>
      <c r="AL42" s="678"/>
      <c r="AM42" s="678"/>
      <c r="AN42" s="678"/>
      <c r="AO42" s="678"/>
      <c r="AP42" s="678"/>
    </row>
    <row r="43" spans="1:155" ht="48.75" customHeight="1" thickBot="1" x14ac:dyDescent="0.75">
      <c r="A43" s="698" t="s">
        <v>519</v>
      </c>
      <c r="B43" s="665">
        <f>'[3]int.bevételek RM I'!D43</f>
        <v>97148</v>
      </c>
      <c r="C43" s="669"/>
      <c r="D43" s="669">
        <f>SUM(B43:C43)</f>
        <v>97148</v>
      </c>
      <c r="E43" s="665">
        <f>'[3]int.bevételek RM I'!G43</f>
        <v>0</v>
      </c>
      <c r="F43" s="669">
        <v>13519</v>
      </c>
      <c r="G43" s="669">
        <f>SUM(E43:F43)</f>
        <v>13519</v>
      </c>
      <c r="H43" s="669">
        <f>'[3]int.bevételek RM I'!J43</f>
        <v>0</v>
      </c>
      <c r="I43" s="669"/>
      <c r="J43" s="665">
        <f>SUM(H43:I43)</f>
        <v>0</v>
      </c>
      <c r="K43" s="699">
        <f>'[3]int.bevételek RM I'!M43</f>
        <v>0</v>
      </c>
      <c r="L43" s="665"/>
      <c r="M43" s="665">
        <f>SUM(K43:L43)</f>
        <v>0</v>
      </c>
      <c r="N43" s="666">
        <f>B43+E43+H43+K43</f>
        <v>97148</v>
      </c>
      <c r="O43" s="666">
        <f>C43+F43+I43+L43</f>
        <v>13519</v>
      </c>
      <c r="P43" s="666">
        <f>D43+G43+J43+M43</f>
        <v>110667</v>
      </c>
      <c r="Q43" s="698" t="s">
        <v>519</v>
      </c>
      <c r="R43" s="669">
        <f>'[3]int.bevételek RM I'!T43</f>
        <v>0</v>
      </c>
      <c r="S43" s="669"/>
      <c r="T43" s="669">
        <f>SUM(R43:S43)</f>
        <v>0</v>
      </c>
      <c r="U43" s="669">
        <f>'[3]int.bevételek RM I'!W43</f>
        <v>0</v>
      </c>
      <c r="V43" s="669"/>
      <c r="W43" s="669">
        <f>SUM(U43:V43)</f>
        <v>0</v>
      </c>
      <c r="X43" s="669">
        <f>'[3]int.bevételek RM I'!Z43</f>
        <v>0</v>
      </c>
      <c r="Y43" s="669"/>
      <c r="Z43" s="690">
        <f>SUM(X43:Y43)</f>
        <v>0</v>
      </c>
      <c r="AA43" s="666">
        <f>R43+U43+X43</f>
        <v>0</v>
      </c>
      <c r="AB43" s="666">
        <f>S43+V43+Y43</f>
        <v>0</v>
      </c>
      <c r="AC43" s="666">
        <f>T43+W43+Z43</f>
        <v>0</v>
      </c>
      <c r="AD43" s="666">
        <f>N43+AA43</f>
        <v>97148</v>
      </c>
      <c r="AE43" s="666">
        <f>O43+AB43</f>
        <v>13519</v>
      </c>
      <c r="AF43" s="666">
        <f>P43+AC43</f>
        <v>110667</v>
      </c>
      <c r="AG43" s="698" t="s">
        <v>519</v>
      </c>
      <c r="AH43" s="669">
        <f>'[3]int.bevételek RM I'!AJ43</f>
        <v>0</v>
      </c>
      <c r="AI43" s="669">
        <f>'[3]int.bevételek RM II maradvány'!AI43</f>
        <v>3170</v>
      </c>
      <c r="AJ43" s="669">
        <f>SUM(AH43:AI43)</f>
        <v>3170</v>
      </c>
      <c r="AK43" s="666">
        <f>'[3]int.bevételek RM I'!AM43</f>
        <v>1883417</v>
      </c>
      <c r="AL43" s="666">
        <f>'[3]int.bevételek RM II maradvány'!AS43+24339</f>
        <v>33554</v>
      </c>
      <c r="AM43" s="666">
        <f>SUM(AK43:AL43)</f>
        <v>1916971</v>
      </c>
      <c r="AN43" s="666">
        <f>N43+AA43+AH43+AK43</f>
        <v>1980565</v>
      </c>
      <c r="AO43" s="666">
        <f>O43+AB43+AI43+AL43</f>
        <v>50243</v>
      </c>
      <c r="AP43" s="666">
        <f>P43+AC43+AJ43+AM43</f>
        <v>2030808</v>
      </c>
    </row>
    <row r="44" spans="1:155" ht="48.75" customHeight="1" x14ac:dyDescent="0.7">
      <c r="A44" s="689" t="s">
        <v>638</v>
      </c>
      <c r="B44" s="662"/>
      <c r="C44" s="662"/>
      <c r="D44" s="662"/>
      <c r="E44" s="662"/>
      <c r="F44" s="662"/>
      <c r="G44" s="662"/>
      <c r="H44" s="662"/>
      <c r="I44" s="662"/>
      <c r="J44" s="662"/>
      <c r="K44" s="662"/>
      <c r="L44" s="662"/>
      <c r="M44" s="662"/>
      <c r="N44" s="662"/>
      <c r="O44" s="662"/>
      <c r="P44" s="662"/>
      <c r="Q44" s="689" t="s">
        <v>638</v>
      </c>
      <c r="R44" s="662"/>
      <c r="S44" s="662"/>
      <c r="T44" s="662"/>
      <c r="U44" s="662"/>
      <c r="V44" s="662"/>
      <c r="W44" s="662"/>
      <c r="X44" s="662"/>
      <c r="Y44" s="662"/>
      <c r="Z44" s="678"/>
      <c r="AA44" s="662"/>
      <c r="AB44" s="662"/>
      <c r="AC44" s="662"/>
      <c r="AD44" s="662"/>
      <c r="AE44" s="662"/>
      <c r="AF44" s="662"/>
      <c r="AG44" s="689" t="s">
        <v>638</v>
      </c>
      <c r="AH44" s="662"/>
      <c r="AI44" s="662"/>
      <c r="AJ44" s="662"/>
      <c r="AK44" s="662"/>
      <c r="AL44" s="662"/>
      <c r="AM44" s="662"/>
      <c r="AN44" s="662"/>
      <c r="AO44" s="662"/>
      <c r="AP44" s="662"/>
    </row>
    <row r="45" spans="1:155" ht="48.75" customHeight="1" x14ac:dyDescent="0.7">
      <c r="A45" s="664" t="s">
        <v>475</v>
      </c>
      <c r="B45" s="665">
        <f>'[3]int.bevételek RM I'!D45</f>
        <v>188823</v>
      </c>
      <c r="C45" s="665"/>
      <c r="D45" s="665">
        <f>SUM(B45:C45)</f>
        <v>188823</v>
      </c>
      <c r="E45" s="665">
        <f>'[3]int.bevételek RM I'!G45</f>
        <v>0</v>
      </c>
      <c r="F45" s="665"/>
      <c r="G45" s="665">
        <f>SUM(E45:F45)</f>
        <v>0</v>
      </c>
      <c r="H45" s="665">
        <f>'[3]int.bevételek RM I'!J45</f>
        <v>0</v>
      </c>
      <c r="I45" s="665"/>
      <c r="J45" s="665">
        <f>SUM(H45:I45)</f>
        <v>0</v>
      </c>
      <c r="K45" s="665">
        <f>'[3]int.bevételek RM I'!M45</f>
        <v>0</v>
      </c>
      <c r="L45" s="665"/>
      <c r="M45" s="665">
        <f>SUM(K45:L45)</f>
        <v>0</v>
      </c>
      <c r="N45" s="666">
        <f t="shared" ref="N45:P46" si="25">B45+E45+H45+K45</f>
        <v>188823</v>
      </c>
      <c r="O45" s="666">
        <f t="shared" si="25"/>
        <v>0</v>
      </c>
      <c r="P45" s="666">
        <f t="shared" si="25"/>
        <v>188823</v>
      </c>
      <c r="Q45" s="664" t="s">
        <v>475</v>
      </c>
      <c r="R45" s="665">
        <f>'[3]int.bevételek RM I'!T45</f>
        <v>0</v>
      </c>
      <c r="S45" s="665"/>
      <c r="T45" s="665">
        <f>SUM(R45:S45)</f>
        <v>0</v>
      </c>
      <c r="U45" s="665">
        <f>'[3]int.bevételek RM I'!W45</f>
        <v>0</v>
      </c>
      <c r="V45" s="665"/>
      <c r="W45" s="665">
        <f>SUM(U45:V45)</f>
        <v>0</v>
      </c>
      <c r="X45" s="665">
        <f>'[3]int.bevételek RM I'!Z45</f>
        <v>0</v>
      </c>
      <c r="Y45" s="665"/>
      <c r="Z45" s="669">
        <f>SUM(X45:Y45)</f>
        <v>0</v>
      </c>
      <c r="AA45" s="666">
        <f t="shared" ref="AA45:AC46" si="26">R45+U45+X45</f>
        <v>0</v>
      </c>
      <c r="AB45" s="666">
        <f t="shared" si="26"/>
        <v>0</v>
      </c>
      <c r="AC45" s="666">
        <f t="shared" si="26"/>
        <v>0</v>
      </c>
      <c r="AD45" s="666">
        <f t="shared" ref="AD45:AF47" si="27">N45+AA45</f>
        <v>188823</v>
      </c>
      <c r="AE45" s="666">
        <f t="shared" si="27"/>
        <v>0</v>
      </c>
      <c r="AF45" s="666">
        <f t="shared" si="27"/>
        <v>188823</v>
      </c>
      <c r="AG45" s="664" t="s">
        <v>475</v>
      </c>
      <c r="AH45" s="665">
        <f>'[3]int.bevételek RM I'!AJ45</f>
        <v>0</v>
      </c>
      <c r="AI45" s="665">
        <f>'[3]int.bevételek RM II maradvány'!AI45</f>
        <v>24519</v>
      </c>
      <c r="AJ45" s="665">
        <f>SUM(AH45:AI45)</f>
        <v>24519</v>
      </c>
      <c r="AK45" s="666">
        <f>'[3]int.bevételek RM I'!AM45</f>
        <v>20195</v>
      </c>
      <c r="AL45" s="666">
        <f>'[3]int.bevételek RM II maradvány'!AS45</f>
        <v>2928</v>
      </c>
      <c r="AM45" s="666">
        <f>SUM(AK45:AL45)</f>
        <v>23123</v>
      </c>
      <c r="AN45" s="666">
        <f t="shared" ref="AN45:AP46" si="28">N45+AA45+AH45+AK45</f>
        <v>209018</v>
      </c>
      <c r="AO45" s="666">
        <f t="shared" si="28"/>
        <v>27447</v>
      </c>
      <c r="AP45" s="666">
        <f t="shared" si="28"/>
        <v>236465</v>
      </c>
    </row>
    <row r="46" spans="1:155" s="704" customFormat="1" ht="49.5" customHeight="1" thickBot="1" x14ac:dyDescent="0.75">
      <c r="A46" s="700" t="s">
        <v>4</v>
      </c>
      <c r="B46" s="701">
        <f>'[3]int.bevételek RM I'!D46</f>
        <v>17150</v>
      </c>
      <c r="C46" s="701"/>
      <c r="D46" s="701">
        <f>SUM(B46:C46)</f>
        <v>17150</v>
      </c>
      <c r="E46" s="701">
        <f>'[3]int.bevételek RM I'!G46</f>
        <v>0</v>
      </c>
      <c r="F46" s="701">
        <v>810</v>
      </c>
      <c r="G46" s="702">
        <f>SUM(E46:F46)</f>
        <v>810</v>
      </c>
      <c r="H46" s="701">
        <f>'[3]int.bevételek RM I'!J46</f>
        <v>0</v>
      </c>
      <c r="I46" s="702"/>
      <c r="J46" s="701">
        <f>SUM(H46:I46)</f>
        <v>0</v>
      </c>
      <c r="K46" s="702">
        <f>'[3]int.bevételek RM I'!M46</f>
        <v>1850</v>
      </c>
      <c r="L46" s="701"/>
      <c r="M46" s="702">
        <f>SUM(K46:L46)</f>
        <v>1850</v>
      </c>
      <c r="N46" s="670">
        <f t="shared" si="25"/>
        <v>19000</v>
      </c>
      <c r="O46" s="703">
        <f t="shared" si="25"/>
        <v>810</v>
      </c>
      <c r="P46" s="670">
        <f t="shared" si="25"/>
        <v>19810</v>
      </c>
      <c r="Q46" s="700" t="s">
        <v>4</v>
      </c>
      <c r="R46" s="701">
        <f>'[3]int.bevételek RM I'!T46</f>
        <v>0</v>
      </c>
      <c r="S46" s="702"/>
      <c r="T46" s="701">
        <f>SUM(R46:S46)</f>
        <v>0</v>
      </c>
      <c r="U46" s="702">
        <f>'[3]int.bevételek RM I'!W46</f>
        <v>0</v>
      </c>
      <c r="V46" s="701"/>
      <c r="W46" s="702">
        <f>SUM(U46:V46)</f>
        <v>0</v>
      </c>
      <c r="X46" s="701">
        <f>'[3]int.bevételek RM I'!Z46</f>
        <v>0</v>
      </c>
      <c r="Y46" s="702"/>
      <c r="Z46" s="701">
        <f>SUM(X46:Y46)</f>
        <v>0</v>
      </c>
      <c r="AA46" s="703">
        <f t="shared" si="26"/>
        <v>0</v>
      </c>
      <c r="AB46" s="684">
        <f t="shared" si="26"/>
        <v>0</v>
      </c>
      <c r="AC46" s="670">
        <f t="shared" si="26"/>
        <v>0</v>
      </c>
      <c r="AD46" s="670">
        <f>N46+AA46</f>
        <v>19000</v>
      </c>
      <c r="AE46" s="670">
        <f>O46+AB46</f>
        <v>810</v>
      </c>
      <c r="AF46" s="670">
        <f>P46+AC46</f>
        <v>19810</v>
      </c>
      <c r="AG46" s="700" t="s">
        <v>4</v>
      </c>
      <c r="AH46" s="702">
        <f>'[3]int.bevételek RM I'!AJ46</f>
        <v>0</v>
      </c>
      <c r="AI46" s="701">
        <f>'[3]int.bevételek RM II maradvány'!AI46</f>
        <v>11268</v>
      </c>
      <c r="AJ46" s="690">
        <f>SUM(AH46:AI46)</f>
        <v>11268</v>
      </c>
      <c r="AK46" s="703">
        <f>'[3]int.bevételek RM I'!AM46</f>
        <v>3187217</v>
      </c>
      <c r="AL46" s="670">
        <f>'[3]int.bevételek RM II maradvány'!AS46</f>
        <v>225157</v>
      </c>
      <c r="AM46" s="703">
        <f>SUM(AK46:AL46)</f>
        <v>3412374</v>
      </c>
      <c r="AN46" s="670">
        <f t="shared" si="28"/>
        <v>3206217</v>
      </c>
      <c r="AO46" s="703">
        <f t="shared" si="28"/>
        <v>237235</v>
      </c>
      <c r="AP46" s="670">
        <f t="shared" si="28"/>
        <v>3443452</v>
      </c>
      <c r="AQ46" s="723"/>
      <c r="AR46" s="649"/>
      <c r="AS46" s="649"/>
      <c r="AT46" s="649"/>
      <c r="AU46" s="649"/>
      <c r="AV46" s="649"/>
      <c r="AW46" s="649"/>
      <c r="AX46" s="649"/>
      <c r="AY46" s="649"/>
      <c r="AZ46" s="649"/>
      <c r="BA46" s="649"/>
      <c r="BB46" s="649"/>
      <c r="BC46" s="649"/>
      <c r="BD46" s="649"/>
      <c r="BE46" s="649"/>
      <c r="BF46" s="649"/>
      <c r="BG46" s="649"/>
      <c r="BH46" s="649"/>
      <c r="BI46" s="649"/>
      <c r="BJ46" s="649"/>
      <c r="BK46" s="649"/>
      <c r="BL46" s="649"/>
      <c r="BM46" s="649"/>
      <c r="BN46" s="649"/>
      <c r="BO46" s="649"/>
      <c r="BP46" s="649"/>
      <c r="BQ46" s="649"/>
      <c r="BR46" s="649"/>
      <c r="BS46" s="649"/>
      <c r="BT46" s="649"/>
      <c r="BU46" s="649"/>
      <c r="BV46" s="649"/>
      <c r="BW46" s="649"/>
      <c r="BX46" s="649"/>
      <c r="BY46" s="649"/>
      <c r="BZ46" s="649"/>
      <c r="CA46" s="649"/>
      <c r="CB46" s="649"/>
      <c r="CC46" s="649"/>
      <c r="CD46" s="649"/>
      <c r="CE46" s="649"/>
      <c r="CF46" s="649"/>
      <c r="CG46" s="649"/>
      <c r="CH46" s="649"/>
      <c r="CI46" s="649"/>
      <c r="CJ46" s="649"/>
      <c r="CK46" s="649"/>
      <c r="CL46" s="649"/>
      <c r="CM46" s="649"/>
      <c r="CN46" s="649"/>
      <c r="CO46" s="649"/>
      <c r="CP46" s="649"/>
      <c r="CQ46" s="649"/>
      <c r="CR46" s="649"/>
      <c r="CS46" s="649"/>
      <c r="CT46" s="649"/>
      <c r="CU46" s="649"/>
      <c r="CV46" s="649"/>
      <c r="CW46" s="649"/>
      <c r="CX46" s="649"/>
      <c r="CY46" s="649"/>
      <c r="CZ46" s="649"/>
      <c r="DA46" s="649"/>
      <c r="DB46" s="649"/>
      <c r="DC46" s="649"/>
      <c r="DD46" s="649"/>
      <c r="DE46" s="649"/>
      <c r="DF46" s="649"/>
      <c r="DG46" s="649"/>
      <c r="DH46" s="649"/>
      <c r="DI46" s="649"/>
      <c r="DJ46" s="649"/>
      <c r="DK46" s="649"/>
      <c r="DL46" s="649"/>
      <c r="DM46" s="649"/>
      <c r="DN46" s="649"/>
      <c r="DO46" s="649"/>
      <c r="DP46" s="649"/>
      <c r="DQ46" s="649"/>
      <c r="DR46" s="649"/>
      <c r="DS46" s="649"/>
      <c r="DT46" s="649"/>
      <c r="DU46" s="649"/>
      <c r="DV46" s="649"/>
      <c r="DW46" s="649"/>
      <c r="DX46" s="649"/>
      <c r="DY46" s="649"/>
      <c r="DZ46" s="649"/>
      <c r="EA46" s="649"/>
      <c r="EB46" s="649"/>
      <c r="EC46" s="649"/>
      <c r="ED46" s="649"/>
      <c r="EE46" s="649"/>
      <c r="EF46" s="649"/>
      <c r="EG46" s="649"/>
      <c r="EH46" s="649"/>
      <c r="EI46" s="649"/>
      <c r="EJ46" s="649"/>
      <c r="EK46" s="649"/>
      <c r="EL46" s="649"/>
      <c r="EM46" s="649"/>
      <c r="EN46" s="649"/>
      <c r="EO46" s="649"/>
      <c r="EP46" s="649"/>
      <c r="EQ46" s="649"/>
      <c r="ER46" s="649"/>
      <c r="ES46" s="649"/>
      <c r="ET46" s="649"/>
      <c r="EU46" s="649"/>
      <c r="EV46" s="649"/>
      <c r="EW46" s="649"/>
      <c r="EX46" s="649"/>
      <c r="EY46" s="649"/>
    </row>
    <row r="47" spans="1:155" ht="61.5" customHeight="1" thickBot="1" x14ac:dyDescent="0.75">
      <c r="A47" s="705" t="s">
        <v>639</v>
      </c>
      <c r="B47" s="678">
        <f t="shared" ref="B47:P47" si="29">SUM(B45:B46)</f>
        <v>205973</v>
      </c>
      <c r="C47" s="678">
        <f t="shared" si="29"/>
        <v>0</v>
      </c>
      <c r="D47" s="678">
        <f t="shared" si="29"/>
        <v>205973</v>
      </c>
      <c r="E47" s="678">
        <f t="shared" si="29"/>
        <v>0</v>
      </c>
      <c r="F47" s="678">
        <f t="shared" si="29"/>
        <v>810</v>
      </c>
      <c r="G47" s="678">
        <f t="shared" si="29"/>
        <v>810</v>
      </c>
      <c r="H47" s="678">
        <f t="shared" si="29"/>
        <v>0</v>
      </c>
      <c r="I47" s="678">
        <f t="shared" si="29"/>
        <v>0</v>
      </c>
      <c r="J47" s="678">
        <f t="shared" si="29"/>
        <v>0</v>
      </c>
      <c r="K47" s="678">
        <f t="shared" si="29"/>
        <v>1850</v>
      </c>
      <c r="L47" s="678">
        <f t="shared" si="29"/>
        <v>0</v>
      </c>
      <c r="M47" s="678">
        <f t="shared" si="29"/>
        <v>1850</v>
      </c>
      <c r="N47" s="678">
        <f t="shared" si="29"/>
        <v>207823</v>
      </c>
      <c r="O47" s="678">
        <f t="shared" si="29"/>
        <v>810</v>
      </c>
      <c r="P47" s="678">
        <f t="shared" si="29"/>
        <v>208633</v>
      </c>
      <c r="Q47" s="705" t="s">
        <v>639</v>
      </c>
      <c r="R47" s="678">
        <f t="shared" ref="R47:AC47" si="30">SUM(R45:R46)</f>
        <v>0</v>
      </c>
      <c r="S47" s="678">
        <f t="shared" si="30"/>
        <v>0</v>
      </c>
      <c r="T47" s="678">
        <f t="shared" si="30"/>
        <v>0</v>
      </c>
      <c r="U47" s="678">
        <f t="shared" si="30"/>
        <v>0</v>
      </c>
      <c r="V47" s="678">
        <f t="shared" si="30"/>
        <v>0</v>
      </c>
      <c r="W47" s="678">
        <f t="shared" si="30"/>
        <v>0</v>
      </c>
      <c r="X47" s="678">
        <f t="shared" si="30"/>
        <v>0</v>
      </c>
      <c r="Y47" s="678">
        <f t="shared" si="30"/>
        <v>0</v>
      </c>
      <c r="Z47" s="678">
        <f t="shared" si="30"/>
        <v>0</v>
      </c>
      <c r="AA47" s="678">
        <f t="shared" si="30"/>
        <v>0</v>
      </c>
      <c r="AB47" s="678">
        <f t="shared" si="30"/>
        <v>0</v>
      </c>
      <c r="AC47" s="678">
        <f t="shared" si="30"/>
        <v>0</v>
      </c>
      <c r="AD47" s="678">
        <f t="shared" si="27"/>
        <v>207823</v>
      </c>
      <c r="AE47" s="678">
        <f t="shared" si="27"/>
        <v>810</v>
      </c>
      <c r="AF47" s="678">
        <f t="shared" si="27"/>
        <v>208633</v>
      </c>
      <c r="AG47" s="705" t="s">
        <v>639</v>
      </c>
      <c r="AH47" s="678">
        <f t="shared" ref="AH47:AP47" si="31">SUM(AH45:AH46)</f>
        <v>0</v>
      </c>
      <c r="AI47" s="678">
        <f t="shared" si="31"/>
        <v>35787</v>
      </c>
      <c r="AJ47" s="678">
        <f t="shared" si="31"/>
        <v>35787</v>
      </c>
      <c r="AK47" s="678">
        <f t="shared" si="31"/>
        <v>3207412</v>
      </c>
      <c r="AL47" s="678">
        <f t="shared" si="31"/>
        <v>228085</v>
      </c>
      <c r="AM47" s="678">
        <f t="shared" si="31"/>
        <v>3435497</v>
      </c>
      <c r="AN47" s="678">
        <f t="shared" si="31"/>
        <v>3415235</v>
      </c>
      <c r="AO47" s="678">
        <f t="shared" si="31"/>
        <v>264682</v>
      </c>
      <c r="AP47" s="678">
        <f t="shared" si="31"/>
        <v>3679917</v>
      </c>
    </row>
    <row r="48" spans="1:155" ht="61.5" customHeight="1" thickBot="1" x14ac:dyDescent="0.75">
      <c r="A48" s="706" t="s">
        <v>640</v>
      </c>
      <c r="B48" s="672">
        <f t="shared" ref="B48:P48" si="32">B37+B39+B41+B43+B47</f>
        <v>868888</v>
      </c>
      <c r="C48" s="672">
        <f t="shared" si="32"/>
        <v>0</v>
      </c>
      <c r="D48" s="672">
        <f t="shared" si="32"/>
        <v>868888</v>
      </c>
      <c r="E48" s="672">
        <f t="shared" si="32"/>
        <v>449270</v>
      </c>
      <c r="F48" s="672">
        <f t="shared" si="32"/>
        <v>27735</v>
      </c>
      <c r="G48" s="672">
        <f t="shared" si="32"/>
        <v>477005</v>
      </c>
      <c r="H48" s="672">
        <f t="shared" si="32"/>
        <v>0</v>
      </c>
      <c r="I48" s="672">
        <f t="shared" si="32"/>
        <v>0</v>
      </c>
      <c r="J48" s="672">
        <f t="shared" si="32"/>
        <v>0</v>
      </c>
      <c r="K48" s="672">
        <f t="shared" si="32"/>
        <v>1850</v>
      </c>
      <c r="L48" s="672">
        <f t="shared" si="32"/>
        <v>0</v>
      </c>
      <c r="M48" s="672">
        <f t="shared" si="32"/>
        <v>1850</v>
      </c>
      <c r="N48" s="672">
        <f t="shared" si="32"/>
        <v>1320008</v>
      </c>
      <c r="O48" s="672">
        <f t="shared" si="32"/>
        <v>27735</v>
      </c>
      <c r="P48" s="672">
        <f t="shared" si="32"/>
        <v>1347743</v>
      </c>
      <c r="Q48" s="706" t="s">
        <v>640</v>
      </c>
      <c r="R48" s="672">
        <f t="shared" ref="R48:AF48" si="33">R37+R39+R41+R43+R47</f>
        <v>0</v>
      </c>
      <c r="S48" s="672">
        <f t="shared" si="33"/>
        <v>0</v>
      </c>
      <c r="T48" s="672">
        <f t="shared" si="33"/>
        <v>0</v>
      </c>
      <c r="U48" s="672">
        <f t="shared" si="33"/>
        <v>0</v>
      </c>
      <c r="V48" s="672">
        <f t="shared" si="33"/>
        <v>0</v>
      </c>
      <c r="W48" s="672">
        <f t="shared" si="33"/>
        <v>0</v>
      </c>
      <c r="X48" s="672">
        <f t="shared" si="33"/>
        <v>0</v>
      </c>
      <c r="Y48" s="672">
        <f t="shared" si="33"/>
        <v>0</v>
      </c>
      <c r="Z48" s="672">
        <f t="shared" si="33"/>
        <v>0</v>
      </c>
      <c r="AA48" s="672">
        <f t="shared" si="33"/>
        <v>0</v>
      </c>
      <c r="AB48" s="672">
        <f t="shared" si="33"/>
        <v>0</v>
      </c>
      <c r="AC48" s="672">
        <f t="shared" si="33"/>
        <v>0</v>
      </c>
      <c r="AD48" s="672">
        <f t="shared" si="33"/>
        <v>1320008</v>
      </c>
      <c r="AE48" s="672">
        <f t="shared" si="33"/>
        <v>27735</v>
      </c>
      <c r="AF48" s="672">
        <f t="shared" si="33"/>
        <v>1347743</v>
      </c>
      <c r="AG48" s="706" t="s">
        <v>640</v>
      </c>
      <c r="AH48" s="672">
        <f t="shared" ref="AH48:AP48" si="34">AH37+AH39+AH41+AH43+AH47</f>
        <v>0</v>
      </c>
      <c r="AI48" s="672">
        <f t="shared" si="34"/>
        <v>637471</v>
      </c>
      <c r="AJ48" s="672">
        <f t="shared" si="34"/>
        <v>637471</v>
      </c>
      <c r="AK48" s="672">
        <f t="shared" si="34"/>
        <v>8463486</v>
      </c>
      <c r="AL48" s="672">
        <f t="shared" si="34"/>
        <v>853867</v>
      </c>
      <c r="AM48" s="672">
        <f t="shared" si="34"/>
        <v>9317353</v>
      </c>
      <c r="AN48" s="672">
        <f t="shared" si="34"/>
        <v>9783494</v>
      </c>
      <c r="AO48" s="672">
        <f t="shared" si="34"/>
        <v>1519073</v>
      </c>
      <c r="AP48" s="672">
        <f t="shared" si="34"/>
        <v>11302567</v>
      </c>
    </row>
    <row r="49" spans="1:42" ht="61.5" customHeight="1" thickBot="1" x14ac:dyDescent="0.75">
      <c r="A49" s="707" t="s">
        <v>641</v>
      </c>
      <c r="B49" s="684">
        <f t="shared" ref="B49:P49" si="35">B30+B48</f>
        <v>1548193</v>
      </c>
      <c r="C49" s="684">
        <f t="shared" si="35"/>
        <v>884</v>
      </c>
      <c r="D49" s="684">
        <f t="shared" si="35"/>
        <v>1549077</v>
      </c>
      <c r="E49" s="684">
        <f t="shared" si="35"/>
        <v>449270</v>
      </c>
      <c r="F49" s="684">
        <f t="shared" si="35"/>
        <v>28783</v>
      </c>
      <c r="G49" s="684">
        <f t="shared" si="35"/>
        <v>478053</v>
      </c>
      <c r="H49" s="684">
        <f t="shared" si="35"/>
        <v>0</v>
      </c>
      <c r="I49" s="684">
        <f t="shared" si="35"/>
        <v>381</v>
      </c>
      <c r="J49" s="684">
        <f t="shared" si="35"/>
        <v>381</v>
      </c>
      <c r="K49" s="684">
        <f t="shared" si="35"/>
        <v>1850</v>
      </c>
      <c r="L49" s="684">
        <f t="shared" si="35"/>
        <v>0</v>
      </c>
      <c r="M49" s="684">
        <f t="shared" si="35"/>
        <v>1850</v>
      </c>
      <c r="N49" s="684">
        <f t="shared" si="35"/>
        <v>1999313</v>
      </c>
      <c r="O49" s="684">
        <f t="shared" si="35"/>
        <v>30048</v>
      </c>
      <c r="P49" s="684">
        <f t="shared" si="35"/>
        <v>2029361</v>
      </c>
      <c r="Q49" s="707" t="s">
        <v>641</v>
      </c>
      <c r="R49" s="708">
        <f t="shared" ref="R49:AF49" si="36">R30+R48</f>
        <v>0</v>
      </c>
      <c r="S49" s="684">
        <f t="shared" si="36"/>
        <v>35</v>
      </c>
      <c r="T49" s="708">
        <f t="shared" si="36"/>
        <v>35</v>
      </c>
      <c r="U49" s="684">
        <f t="shared" si="36"/>
        <v>0</v>
      </c>
      <c r="V49" s="708">
        <f t="shared" si="36"/>
        <v>0</v>
      </c>
      <c r="W49" s="684">
        <f t="shared" si="36"/>
        <v>0</v>
      </c>
      <c r="X49" s="708">
        <f t="shared" si="36"/>
        <v>0</v>
      </c>
      <c r="Y49" s="684">
        <f t="shared" si="36"/>
        <v>0</v>
      </c>
      <c r="Z49" s="708">
        <f t="shared" si="36"/>
        <v>0</v>
      </c>
      <c r="AA49" s="684">
        <f t="shared" si="36"/>
        <v>0</v>
      </c>
      <c r="AB49" s="708">
        <f t="shared" si="36"/>
        <v>35</v>
      </c>
      <c r="AC49" s="684">
        <f t="shared" si="36"/>
        <v>35</v>
      </c>
      <c r="AD49" s="684">
        <f t="shared" si="36"/>
        <v>1999313</v>
      </c>
      <c r="AE49" s="708">
        <f t="shared" si="36"/>
        <v>30083</v>
      </c>
      <c r="AF49" s="684">
        <f t="shared" si="36"/>
        <v>2029396</v>
      </c>
      <c r="AG49" s="707" t="s">
        <v>641</v>
      </c>
      <c r="AH49" s="684">
        <f t="shared" ref="AH49:AP49" si="37">AH30+AH48</f>
        <v>0</v>
      </c>
      <c r="AI49" s="708">
        <f t="shared" si="37"/>
        <v>690176</v>
      </c>
      <c r="AJ49" s="684">
        <f t="shared" si="37"/>
        <v>690176</v>
      </c>
      <c r="AK49" s="684">
        <f t="shared" si="37"/>
        <v>13820350</v>
      </c>
      <c r="AL49" s="708">
        <f t="shared" si="37"/>
        <v>1017561</v>
      </c>
      <c r="AM49" s="684">
        <f t="shared" si="37"/>
        <v>14837911</v>
      </c>
      <c r="AN49" s="708">
        <f t="shared" si="37"/>
        <v>15819663</v>
      </c>
      <c r="AO49" s="684">
        <f t="shared" si="37"/>
        <v>1737820</v>
      </c>
      <c r="AP49" s="684">
        <f t="shared" si="37"/>
        <v>17557483</v>
      </c>
    </row>
  </sheetData>
  <mergeCells count="27">
    <mergeCell ref="AN6:AP6"/>
    <mergeCell ref="B7:D7"/>
    <mergeCell ref="N7:P7"/>
    <mergeCell ref="R7:T7"/>
    <mergeCell ref="X7:Z7"/>
    <mergeCell ref="AA7:AC7"/>
    <mergeCell ref="AD7:AF7"/>
    <mergeCell ref="AK7:AM7"/>
    <mergeCell ref="AN7:AP7"/>
    <mergeCell ref="U6:W6"/>
    <mergeCell ref="X6:Z6"/>
    <mergeCell ref="AA6:AC6"/>
    <mergeCell ref="AD6:AF6"/>
    <mergeCell ref="AH6:AJ6"/>
    <mergeCell ref="AK6:AM6"/>
    <mergeCell ref="B6:D6"/>
    <mergeCell ref="E6:G6"/>
    <mergeCell ref="H6:J6"/>
    <mergeCell ref="K6:M6"/>
    <mergeCell ref="N6:P6"/>
    <mergeCell ref="R6:T6"/>
    <mergeCell ref="B3:P3"/>
    <mergeCell ref="R3:AF3"/>
    <mergeCell ref="AH3:AP3"/>
    <mergeCell ref="B4:P4"/>
    <mergeCell ref="R4:AF4"/>
    <mergeCell ref="AH4:AP4"/>
  </mergeCells>
  <printOptions horizontalCentered="1" verticalCentered="1"/>
  <pageMargins left="0" right="0" top="0" bottom="0" header="0" footer="0"/>
  <pageSetup paperSize="9" scale="17" orientation="landscape" r:id="rId1"/>
  <headerFooter alignWithMargins="0">
    <oddHeader>&amp;L&amp;14
&amp;F &amp;A&amp;R&amp;"Arial CE,Félkövér"&amp;36
4. melléklet a 15/2025.(V.30.) önkormányzati rendelethez
"4. melléklet a 4/2025.(II.28.) önkormányzati rendelethez"</oddHeader>
    <oddFooter xml:space="preserve">&amp;C &amp;R
&amp;36 &amp;10
</oddFooter>
  </headerFooter>
  <colBreaks count="2" manualBreakCount="2">
    <brk id="16" max="48" man="1"/>
    <brk id="32" max="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D5A65-B8DB-4CEF-919E-3421925C83F8}">
  <dimension ref="A1:D86"/>
  <sheetViews>
    <sheetView zoomScaleNormal="100" zoomScaleSheetLayoutView="44" workbookViewId="0">
      <selection activeCell="P65" sqref="P65"/>
    </sheetView>
  </sheetViews>
  <sheetFormatPr defaultColWidth="10.33203125" defaultRowHeight="72" customHeight="1" x14ac:dyDescent="0.3"/>
  <cols>
    <col min="1" max="1" width="162.6640625" style="727" bestFit="1" customWidth="1"/>
    <col min="2" max="4" width="39.33203125" style="805" bestFit="1" customWidth="1"/>
    <col min="5" max="16384" width="10.33203125" style="726"/>
  </cols>
  <sheetData>
    <row r="1" spans="1:4" s="725" customFormat="1" ht="43.5" customHeight="1" x14ac:dyDescent="0.4">
      <c r="A1" s="914" t="s">
        <v>650</v>
      </c>
      <c r="B1" s="914"/>
      <c r="C1" s="914"/>
      <c r="D1" s="914"/>
    </row>
    <row r="2" spans="1:4" ht="33" customHeight="1" x14ac:dyDescent="0.4">
      <c r="A2" s="915" t="s">
        <v>651</v>
      </c>
      <c r="B2" s="915"/>
      <c r="C2" s="915"/>
      <c r="D2" s="915"/>
    </row>
    <row r="3" spans="1:4" ht="42" customHeight="1" thickBot="1" x14ac:dyDescent="0.4">
      <c r="B3" s="728"/>
      <c r="C3" s="728"/>
      <c r="D3" s="729" t="s">
        <v>206</v>
      </c>
    </row>
    <row r="4" spans="1:4" s="732" customFormat="1" ht="123.75" customHeight="1" x14ac:dyDescent="0.4">
      <c r="A4" s="730" t="s">
        <v>652</v>
      </c>
      <c r="B4" s="731" t="s">
        <v>653</v>
      </c>
      <c r="C4" s="731" t="s">
        <v>604</v>
      </c>
      <c r="D4" s="731" t="s">
        <v>654</v>
      </c>
    </row>
    <row r="5" spans="1:4" s="735" customFormat="1" ht="77.25" customHeight="1" x14ac:dyDescent="0.4">
      <c r="A5" s="733" t="s">
        <v>655</v>
      </c>
      <c r="B5" s="734"/>
      <c r="C5" s="734"/>
      <c r="D5" s="734"/>
    </row>
    <row r="6" spans="1:4" s="735" customFormat="1" ht="51" customHeight="1" x14ac:dyDescent="0.5">
      <c r="A6" s="736" t="s">
        <v>656</v>
      </c>
      <c r="B6" s="737">
        <v>1118971</v>
      </c>
      <c r="C6" s="737"/>
      <c r="D6" s="737">
        <f>SUM(B6:C6)</f>
        <v>1118971</v>
      </c>
    </row>
    <row r="7" spans="1:4" s="735" customFormat="1" ht="69.75" customHeight="1" x14ac:dyDescent="0.5">
      <c r="A7" s="738" t="s">
        <v>657</v>
      </c>
      <c r="B7" s="739">
        <v>83153</v>
      </c>
      <c r="C7" s="739"/>
      <c r="D7" s="739">
        <f t="shared" ref="D7:D13" si="0">SUM(B7:C7)</f>
        <v>83153</v>
      </c>
    </row>
    <row r="8" spans="1:4" s="735" customFormat="1" ht="54.75" customHeight="1" x14ac:dyDescent="0.5">
      <c r="A8" s="738" t="s">
        <v>658</v>
      </c>
      <c r="B8" s="739">
        <v>218067</v>
      </c>
      <c r="C8" s="739"/>
      <c r="D8" s="739">
        <f t="shared" si="0"/>
        <v>218067</v>
      </c>
    </row>
    <row r="9" spans="1:4" s="735" customFormat="1" ht="77.25" customHeight="1" x14ac:dyDescent="0.5">
      <c r="A9" s="738" t="s">
        <v>659</v>
      </c>
      <c r="B9" s="740">
        <v>100</v>
      </c>
      <c r="C9" s="740"/>
      <c r="D9" s="740">
        <f t="shared" si="0"/>
        <v>100</v>
      </c>
    </row>
    <row r="10" spans="1:4" s="735" customFormat="1" ht="77.25" customHeight="1" x14ac:dyDescent="0.5">
      <c r="A10" s="738" t="s">
        <v>660</v>
      </c>
      <c r="B10" s="739">
        <v>131036</v>
      </c>
      <c r="C10" s="739"/>
      <c r="D10" s="739">
        <f t="shared" si="0"/>
        <v>131036</v>
      </c>
    </row>
    <row r="11" spans="1:4" s="735" customFormat="1" ht="77.25" customHeight="1" x14ac:dyDescent="0.5">
      <c r="A11" s="738" t="s">
        <v>661</v>
      </c>
      <c r="B11" s="739">
        <v>207617</v>
      </c>
      <c r="C11" s="739"/>
      <c r="D11" s="739">
        <f t="shared" si="0"/>
        <v>207617</v>
      </c>
    </row>
    <row r="12" spans="1:4" s="735" customFormat="1" ht="77.25" customHeight="1" x14ac:dyDescent="0.5">
      <c r="A12" s="738" t="s">
        <v>662</v>
      </c>
      <c r="B12" s="739">
        <v>224</v>
      </c>
      <c r="C12" s="739"/>
      <c r="D12" s="739">
        <f t="shared" si="0"/>
        <v>224</v>
      </c>
    </row>
    <row r="13" spans="1:4" s="735" customFormat="1" ht="77.25" customHeight="1" thickBot="1" x14ac:dyDescent="0.55000000000000004">
      <c r="A13" s="741" t="s">
        <v>663</v>
      </c>
      <c r="B13" s="739">
        <v>0</v>
      </c>
      <c r="C13" s="739"/>
      <c r="D13" s="739">
        <f t="shared" si="0"/>
        <v>0</v>
      </c>
    </row>
    <row r="14" spans="1:4" s="744" customFormat="1" ht="77.25" customHeight="1" thickTop="1" thickBot="1" x14ac:dyDescent="0.55000000000000004">
      <c r="A14" s="742" t="s">
        <v>664</v>
      </c>
      <c r="B14" s="743">
        <f>SUM(B5:B13)</f>
        <v>1759168</v>
      </c>
      <c r="C14" s="743">
        <f>SUM(C5:C13)</f>
        <v>0</v>
      </c>
      <c r="D14" s="743">
        <f>SUM(D5:D13)</f>
        <v>1759168</v>
      </c>
    </row>
    <row r="15" spans="1:4" s="744" customFormat="1" ht="77.25" customHeight="1" thickTop="1" x14ac:dyDescent="0.5">
      <c r="A15" s="745" t="s">
        <v>665</v>
      </c>
      <c r="B15" s="746"/>
      <c r="C15" s="746"/>
      <c r="D15" s="746"/>
    </row>
    <row r="16" spans="1:4" s="735" customFormat="1" ht="77.25" customHeight="1" x14ac:dyDescent="0.5">
      <c r="A16" s="747" t="s">
        <v>666</v>
      </c>
      <c r="B16" s="748"/>
      <c r="C16" s="748"/>
      <c r="D16" s="748"/>
    </row>
    <row r="17" spans="1:4" s="735" customFormat="1" ht="77.25" customHeight="1" x14ac:dyDescent="0.5">
      <c r="A17" s="749" t="s">
        <v>667</v>
      </c>
      <c r="B17" s="737">
        <v>373655</v>
      </c>
      <c r="C17" s="737"/>
      <c r="D17" s="737">
        <f t="shared" ref="D17:D61" si="1">SUM(B17:C17)</f>
        <v>373655</v>
      </c>
    </row>
    <row r="18" spans="1:4" s="735" customFormat="1" ht="77.25" customHeight="1" x14ac:dyDescent="0.5">
      <c r="A18" s="750" t="s">
        <v>668</v>
      </c>
      <c r="B18" s="751"/>
      <c r="C18" s="751"/>
      <c r="D18" s="751"/>
    </row>
    <row r="19" spans="1:4" s="735" customFormat="1" ht="77.25" customHeight="1" x14ac:dyDescent="0.5">
      <c r="A19" s="752" t="s">
        <v>669</v>
      </c>
      <c r="B19" s="737">
        <v>2033459</v>
      </c>
      <c r="C19" s="737"/>
      <c r="D19" s="737">
        <f t="shared" si="1"/>
        <v>2033459</v>
      </c>
    </row>
    <row r="20" spans="1:4" s="735" customFormat="1" ht="96" customHeight="1" x14ac:dyDescent="0.5">
      <c r="A20" s="753" t="s">
        <v>670</v>
      </c>
      <c r="B20" s="748"/>
      <c r="C20" s="748"/>
      <c r="D20" s="748"/>
    </row>
    <row r="21" spans="1:4" s="735" customFormat="1" ht="61.5" x14ac:dyDescent="0.5">
      <c r="A21" s="754" t="s">
        <v>671</v>
      </c>
      <c r="B21" s="748"/>
      <c r="C21" s="748"/>
      <c r="D21" s="748"/>
    </row>
    <row r="22" spans="1:4" s="735" customFormat="1" ht="33.75" x14ac:dyDescent="0.5">
      <c r="A22" s="755" t="s">
        <v>672</v>
      </c>
      <c r="B22" s="748"/>
      <c r="C22" s="748"/>
      <c r="D22" s="748"/>
    </row>
    <row r="23" spans="1:4" s="735" customFormat="1" ht="96" customHeight="1" x14ac:dyDescent="0.5">
      <c r="A23" s="756" t="s">
        <v>673</v>
      </c>
      <c r="B23" s="737">
        <v>49793</v>
      </c>
      <c r="C23" s="737"/>
      <c r="D23" s="737">
        <f t="shared" si="1"/>
        <v>49793</v>
      </c>
    </row>
    <row r="24" spans="1:4" s="735" customFormat="1" ht="47.25" customHeight="1" x14ac:dyDescent="0.5">
      <c r="A24" s="757" t="s">
        <v>674</v>
      </c>
      <c r="B24" s="737">
        <v>48055</v>
      </c>
      <c r="C24" s="737"/>
      <c r="D24" s="737">
        <f t="shared" si="1"/>
        <v>48055</v>
      </c>
    </row>
    <row r="25" spans="1:4" s="735" customFormat="1" ht="47.25" customHeight="1" x14ac:dyDescent="0.5">
      <c r="A25" s="736" t="s">
        <v>675</v>
      </c>
      <c r="B25" s="737">
        <v>1738</v>
      </c>
      <c r="C25" s="737"/>
      <c r="D25" s="737">
        <f t="shared" si="1"/>
        <v>1738</v>
      </c>
    </row>
    <row r="26" spans="1:4" s="735" customFormat="1" ht="77.25" customHeight="1" x14ac:dyDescent="0.5">
      <c r="A26" s="736" t="s">
        <v>676</v>
      </c>
      <c r="B26" s="739">
        <v>51208</v>
      </c>
      <c r="C26" s="739"/>
      <c r="D26" s="739">
        <f t="shared" si="1"/>
        <v>51208</v>
      </c>
    </row>
    <row r="27" spans="1:4" s="735" customFormat="1" ht="77.25" customHeight="1" x14ac:dyDescent="0.5">
      <c r="A27" s="753" t="s">
        <v>677</v>
      </c>
      <c r="B27" s="751"/>
      <c r="C27" s="751"/>
      <c r="D27" s="751"/>
    </row>
    <row r="28" spans="1:4" s="735" customFormat="1" ht="90.75" customHeight="1" x14ac:dyDescent="0.5">
      <c r="A28" s="758" t="s">
        <v>678</v>
      </c>
      <c r="B28" s="737">
        <v>3141</v>
      </c>
      <c r="C28" s="737"/>
      <c r="D28" s="737">
        <f t="shared" si="1"/>
        <v>3141</v>
      </c>
    </row>
    <row r="29" spans="1:4" s="735" customFormat="1" ht="51.75" customHeight="1" x14ac:dyDescent="0.5">
      <c r="A29" s="736" t="s">
        <v>674</v>
      </c>
      <c r="B29" s="737">
        <v>1047</v>
      </c>
      <c r="C29" s="737"/>
      <c r="D29" s="737">
        <f t="shared" si="1"/>
        <v>1047</v>
      </c>
    </row>
    <row r="30" spans="1:4" s="735" customFormat="1" ht="58.5" customHeight="1" x14ac:dyDescent="0.5">
      <c r="A30" s="736" t="s">
        <v>675</v>
      </c>
      <c r="B30" s="737">
        <v>2094</v>
      </c>
      <c r="C30" s="737"/>
      <c r="D30" s="737">
        <f t="shared" si="1"/>
        <v>2094</v>
      </c>
    </row>
    <row r="31" spans="1:4" s="735" customFormat="1" ht="77.25" customHeight="1" x14ac:dyDescent="0.5">
      <c r="A31" s="736" t="s">
        <v>679</v>
      </c>
      <c r="B31" s="739">
        <v>3660</v>
      </c>
      <c r="C31" s="739"/>
      <c r="D31" s="739">
        <f t="shared" si="1"/>
        <v>3660</v>
      </c>
    </row>
    <row r="32" spans="1:4" s="735" customFormat="1" ht="77.25" customHeight="1" x14ac:dyDescent="0.5">
      <c r="A32" s="759" t="s">
        <v>680</v>
      </c>
      <c r="B32" s="751"/>
      <c r="C32" s="751"/>
      <c r="D32" s="751"/>
    </row>
    <row r="33" spans="1:4" s="735" customFormat="1" ht="77.25" customHeight="1" x14ac:dyDescent="0.5">
      <c r="A33" s="754" t="s">
        <v>681</v>
      </c>
      <c r="B33" s="748">
        <v>0</v>
      </c>
      <c r="C33" s="748"/>
      <c r="D33" s="748">
        <f t="shared" si="1"/>
        <v>0</v>
      </c>
    </row>
    <row r="34" spans="1:4" s="735" customFormat="1" ht="87.75" customHeight="1" x14ac:dyDescent="0.5">
      <c r="A34" s="760" t="s">
        <v>682</v>
      </c>
      <c r="B34" s="737">
        <v>13904</v>
      </c>
      <c r="C34" s="737"/>
      <c r="D34" s="737">
        <f t="shared" si="1"/>
        <v>13904</v>
      </c>
    </row>
    <row r="35" spans="1:4" s="735" customFormat="1" ht="99.75" customHeight="1" x14ac:dyDescent="0.5">
      <c r="A35" s="747" t="s">
        <v>683</v>
      </c>
      <c r="B35" s="748"/>
      <c r="C35" s="748"/>
      <c r="D35" s="748"/>
    </row>
    <row r="36" spans="1:4" s="735" customFormat="1" ht="77.25" customHeight="1" x14ac:dyDescent="0.5">
      <c r="A36" s="754" t="s">
        <v>684</v>
      </c>
      <c r="B36" s="748"/>
      <c r="C36" s="748"/>
      <c r="D36" s="748"/>
    </row>
    <row r="37" spans="1:4" s="735" customFormat="1" ht="77.25" customHeight="1" x14ac:dyDescent="0.5">
      <c r="A37" s="736" t="s">
        <v>685</v>
      </c>
      <c r="B37" s="737">
        <v>732252</v>
      </c>
      <c r="C37" s="737"/>
      <c r="D37" s="737">
        <f t="shared" si="1"/>
        <v>732252</v>
      </c>
    </row>
    <row r="38" spans="1:4" s="735" customFormat="1" ht="77.25" customHeight="1" thickBot="1" x14ac:dyDescent="0.55000000000000004">
      <c r="A38" s="761" t="s">
        <v>686</v>
      </c>
      <c r="B38" s="762">
        <v>71029</v>
      </c>
      <c r="C38" s="762"/>
      <c r="D38" s="762">
        <f t="shared" si="1"/>
        <v>71029</v>
      </c>
    </row>
    <row r="39" spans="1:4" s="735" customFormat="1" ht="77.25" customHeight="1" thickTop="1" thickBot="1" x14ac:dyDescent="0.55000000000000004">
      <c r="A39" s="738" t="s">
        <v>687</v>
      </c>
      <c r="B39" s="739">
        <v>1738</v>
      </c>
      <c r="C39" s="739"/>
      <c r="D39" s="739">
        <f t="shared" si="1"/>
        <v>1738</v>
      </c>
    </row>
    <row r="40" spans="1:4" s="735" customFormat="1" ht="62.25" customHeight="1" thickTop="1" thickBot="1" x14ac:dyDescent="0.55000000000000004">
      <c r="A40" s="742" t="s">
        <v>688</v>
      </c>
      <c r="B40" s="763">
        <f t="shared" ref="B40" si="2">SUM(B15:B39)-B24-B25-B29-B30</f>
        <v>3333839</v>
      </c>
      <c r="C40" s="763">
        <f t="shared" ref="C40" si="3">SUM(C15:C39)-C24-C25-C29-C30</f>
        <v>0</v>
      </c>
      <c r="D40" s="763">
        <f t="shared" si="1"/>
        <v>3333839</v>
      </c>
    </row>
    <row r="41" spans="1:4" s="764" customFormat="1" ht="77.25" customHeight="1" thickTop="1" x14ac:dyDescent="0.5">
      <c r="A41" s="745" t="s">
        <v>689</v>
      </c>
      <c r="B41" s="746"/>
      <c r="C41" s="746"/>
      <c r="D41" s="746"/>
    </row>
    <row r="42" spans="1:4" s="735" customFormat="1" ht="77.25" customHeight="1" x14ac:dyDescent="0.5">
      <c r="A42" s="765" t="s">
        <v>690</v>
      </c>
      <c r="B42" s="737"/>
      <c r="C42" s="737"/>
      <c r="D42" s="737"/>
    </row>
    <row r="43" spans="1:4" s="735" customFormat="1" ht="33.75" x14ac:dyDescent="0.5">
      <c r="A43" s="738" t="s">
        <v>691</v>
      </c>
      <c r="B43" s="766">
        <v>111579</v>
      </c>
      <c r="C43" s="766">
        <v>9801</v>
      </c>
      <c r="D43" s="766">
        <f t="shared" si="1"/>
        <v>121380</v>
      </c>
    </row>
    <row r="44" spans="1:4" s="735" customFormat="1" ht="77.25" customHeight="1" x14ac:dyDescent="0.5">
      <c r="A44" s="738" t="s">
        <v>692</v>
      </c>
      <c r="B44" s="766">
        <v>142276</v>
      </c>
      <c r="C44" s="766"/>
      <c r="D44" s="766">
        <f t="shared" si="1"/>
        <v>142276</v>
      </c>
    </row>
    <row r="45" spans="1:4" s="735" customFormat="1" ht="77.25" customHeight="1" x14ac:dyDescent="0.5">
      <c r="A45" s="767" t="s">
        <v>693</v>
      </c>
      <c r="B45" s="766">
        <v>96167</v>
      </c>
      <c r="C45" s="766"/>
      <c r="D45" s="766">
        <f t="shared" si="1"/>
        <v>96167</v>
      </c>
    </row>
    <row r="46" spans="1:4" s="735" customFormat="1" ht="77.25" customHeight="1" x14ac:dyDescent="0.5">
      <c r="A46" s="738" t="s">
        <v>694</v>
      </c>
      <c r="B46" s="766">
        <v>88874</v>
      </c>
      <c r="C46" s="766"/>
      <c r="D46" s="766">
        <f t="shared" si="1"/>
        <v>88874</v>
      </c>
    </row>
    <row r="47" spans="1:4" s="735" customFormat="1" ht="77.25" customHeight="1" x14ac:dyDescent="0.5">
      <c r="A47" s="768" t="s">
        <v>695</v>
      </c>
      <c r="B47" s="766">
        <v>100</v>
      </c>
      <c r="C47" s="766"/>
      <c r="D47" s="766">
        <f t="shared" si="1"/>
        <v>100</v>
      </c>
    </row>
    <row r="48" spans="1:4" s="735" customFormat="1" ht="77.25" customHeight="1" x14ac:dyDescent="0.5">
      <c r="A48" s="738" t="s">
        <v>696</v>
      </c>
      <c r="B48" s="766">
        <v>73235</v>
      </c>
      <c r="C48" s="766"/>
      <c r="D48" s="766">
        <f t="shared" si="1"/>
        <v>73235</v>
      </c>
    </row>
    <row r="49" spans="1:4" s="764" customFormat="1" ht="77.25" customHeight="1" x14ac:dyDescent="0.5">
      <c r="A49" s="769" t="s">
        <v>697</v>
      </c>
      <c r="B49" s="766">
        <v>59243</v>
      </c>
      <c r="C49" s="766"/>
      <c r="D49" s="766">
        <f t="shared" si="1"/>
        <v>59243</v>
      </c>
    </row>
    <row r="50" spans="1:4" s="735" customFormat="1" ht="77.25" customHeight="1" thickBot="1" x14ac:dyDescent="0.55000000000000004">
      <c r="A50" s="738" t="s">
        <v>698</v>
      </c>
      <c r="B50" s="740">
        <v>8145</v>
      </c>
      <c r="C50" s="740"/>
      <c r="D50" s="740">
        <f t="shared" si="1"/>
        <v>8145</v>
      </c>
    </row>
    <row r="51" spans="1:4" s="735" customFormat="1" ht="60" customHeight="1" thickTop="1" thickBot="1" x14ac:dyDescent="0.55000000000000004">
      <c r="A51" s="770" t="s">
        <v>690</v>
      </c>
      <c r="B51" s="771">
        <f>SUM(B43:B50)</f>
        <v>579619</v>
      </c>
      <c r="C51" s="771">
        <f>SUM(C43:C50)</f>
        <v>9801</v>
      </c>
      <c r="D51" s="771">
        <f t="shared" si="1"/>
        <v>589420</v>
      </c>
    </row>
    <row r="52" spans="1:4" s="735" customFormat="1" ht="77.25" customHeight="1" thickTop="1" x14ac:dyDescent="0.5">
      <c r="A52" s="747" t="s">
        <v>699</v>
      </c>
      <c r="B52" s="748"/>
      <c r="C52" s="748"/>
      <c r="D52" s="748"/>
    </row>
    <row r="53" spans="1:4" s="735" customFormat="1" ht="77.25" customHeight="1" x14ac:dyDescent="0.5">
      <c r="A53" s="747" t="s">
        <v>700</v>
      </c>
      <c r="B53" s="748"/>
      <c r="C53" s="748"/>
      <c r="D53" s="748"/>
    </row>
    <row r="54" spans="1:4" s="735" customFormat="1" ht="77.25" customHeight="1" x14ac:dyDescent="0.5">
      <c r="A54" s="736" t="s">
        <v>701</v>
      </c>
      <c r="B54" s="737">
        <v>638414</v>
      </c>
      <c r="C54" s="737"/>
      <c r="D54" s="737">
        <f t="shared" si="1"/>
        <v>638414</v>
      </c>
    </row>
    <row r="55" spans="1:4" s="735" customFormat="1" ht="77.25" customHeight="1" x14ac:dyDescent="0.5">
      <c r="A55" s="738" t="s">
        <v>702</v>
      </c>
      <c r="B55" s="737">
        <v>596580</v>
      </c>
      <c r="C55" s="737"/>
      <c r="D55" s="737">
        <f t="shared" si="1"/>
        <v>596580</v>
      </c>
    </row>
    <row r="56" spans="1:4" s="735" customFormat="1" ht="58.5" customHeight="1" thickBot="1" x14ac:dyDescent="0.55000000000000004">
      <c r="A56" s="772" t="s">
        <v>703</v>
      </c>
      <c r="B56" s="737">
        <v>259783</v>
      </c>
      <c r="C56" s="737"/>
      <c r="D56" s="737">
        <f t="shared" si="1"/>
        <v>259783</v>
      </c>
    </row>
    <row r="57" spans="1:4" s="735" customFormat="1" ht="60.75" customHeight="1" thickTop="1" thickBot="1" x14ac:dyDescent="0.55000000000000004">
      <c r="A57" s="770" t="s">
        <v>704</v>
      </c>
      <c r="B57" s="771">
        <f>SUM(B54:B56)</f>
        <v>1494777</v>
      </c>
      <c r="C57" s="771">
        <f>SUM(C54:C56)</f>
        <v>0</v>
      </c>
      <c r="D57" s="771">
        <f t="shared" si="1"/>
        <v>1494777</v>
      </c>
    </row>
    <row r="58" spans="1:4" s="735" customFormat="1" ht="92.25" thickTop="1" x14ac:dyDescent="0.5">
      <c r="A58" s="773" t="s">
        <v>705</v>
      </c>
      <c r="B58" s="774"/>
      <c r="C58" s="774"/>
      <c r="D58" s="774">
        <f t="shared" si="1"/>
        <v>0</v>
      </c>
    </row>
    <row r="59" spans="1:4" s="735" customFormat="1" ht="48.75" customHeight="1" x14ac:dyDescent="0.5">
      <c r="A59" s="736" t="s">
        <v>706</v>
      </c>
      <c r="B59" s="737">
        <v>62330</v>
      </c>
      <c r="C59" s="737"/>
      <c r="D59" s="737">
        <f t="shared" si="1"/>
        <v>62330</v>
      </c>
    </row>
    <row r="60" spans="1:4" s="735" customFormat="1" ht="77.25" customHeight="1" thickBot="1" x14ac:dyDescent="0.55000000000000004">
      <c r="A60" s="738" t="s">
        <v>707</v>
      </c>
      <c r="B60" s="737">
        <v>16902</v>
      </c>
      <c r="C60" s="737"/>
      <c r="D60" s="737">
        <f t="shared" si="1"/>
        <v>16902</v>
      </c>
    </row>
    <row r="61" spans="1:4" s="735" customFormat="1" ht="92.25" customHeight="1" thickTop="1" thickBot="1" x14ac:dyDescent="0.55000000000000004">
      <c r="A61" s="773" t="s">
        <v>708</v>
      </c>
      <c r="B61" s="771">
        <f>SUM(B59:B60)</f>
        <v>79232</v>
      </c>
      <c r="C61" s="771">
        <f>SUM(C59:C60)</f>
        <v>0</v>
      </c>
      <c r="D61" s="771">
        <f t="shared" si="1"/>
        <v>79232</v>
      </c>
    </row>
    <row r="62" spans="1:4" s="735" customFormat="1" ht="77.25" customHeight="1" thickTop="1" thickBot="1" x14ac:dyDescent="0.55000000000000004">
      <c r="A62" s="742" t="s">
        <v>709</v>
      </c>
      <c r="B62" s="763">
        <f>B51+B57+B61</f>
        <v>2153628</v>
      </c>
      <c r="C62" s="763">
        <f>C51+C57+C61</f>
        <v>9801</v>
      </c>
      <c r="D62" s="763">
        <f>D51+D57+D61</f>
        <v>2163429</v>
      </c>
    </row>
    <row r="63" spans="1:4" s="735" customFormat="1" ht="77.25" customHeight="1" thickTop="1" x14ac:dyDescent="0.5">
      <c r="A63" s="775" t="s">
        <v>710</v>
      </c>
      <c r="B63" s="748"/>
      <c r="C63" s="748"/>
      <c r="D63" s="748"/>
    </row>
    <row r="64" spans="1:4" s="764" customFormat="1" ht="45" customHeight="1" x14ac:dyDescent="0.5">
      <c r="A64" s="776" t="s">
        <v>711</v>
      </c>
      <c r="B64" s="746"/>
      <c r="C64" s="746"/>
      <c r="D64" s="746"/>
    </row>
    <row r="65" spans="1:4" s="735" customFormat="1" ht="42" customHeight="1" x14ac:dyDescent="0.5">
      <c r="A65" s="777" t="s">
        <v>712</v>
      </c>
      <c r="B65" s="737">
        <v>400523</v>
      </c>
      <c r="C65" s="737"/>
      <c r="D65" s="737">
        <f t="shared" ref="D65:D67" si="4">SUM(B65:C65)</f>
        <v>400523</v>
      </c>
    </row>
    <row r="66" spans="1:4" s="735" customFormat="1" ht="45" customHeight="1" x14ac:dyDescent="0.5">
      <c r="A66" s="778" t="s">
        <v>713</v>
      </c>
      <c r="B66" s="737">
        <v>476813</v>
      </c>
      <c r="C66" s="737"/>
      <c r="D66" s="737">
        <f t="shared" si="4"/>
        <v>476813</v>
      </c>
    </row>
    <row r="67" spans="1:4" s="735" customFormat="1" ht="38.25" customHeight="1" thickBot="1" x14ac:dyDescent="0.55000000000000004">
      <c r="A67" s="776" t="s">
        <v>714</v>
      </c>
      <c r="B67" s="737">
        <v>729</v>
      </c>
      <c r="C67" s="737"/>
      <c r="D67" s="737">
        <f t="shared" si="4"/>
        <v>729</v>
      </c>
    </row>
    <row r="68" spans="1:4" s="735" customFormat="1" ht="60" customHeight="1" thickTop="1" thickBot="1" x14ac:dyDescent="0.55000000000000004">
      <c r="A68" s="779" t="s">
        <v>715</v>
      </c>
      <c r="B68" s="763">
        <f>SUM(B65:B67)</f>
        <v>878065</v>
      </c>
      <c r="C68" s="763">
        <f>SUM(C65:C67)</f>
        <v>0</v>
      </c>
      <c r="D68" s="763">
        <f>SUM(D65:D67)</f>
        <v>878065</v>
      </c>
    </row>
    <row r="69" spans="1:4" s="735" customFormat="1" ht="56.25" customHeight="1" thickTop="1" x14ac:dyDescent="0.5">
      <c r="A69" s="780" t="s">
        <v>716</v>
      </c>
      <c r="B69" s="774"/>
      <c r="C69" s="774"/>
      <c r="D69" s="774"/>
    </row>
    <row r="70" spans="1:4" s="735" customFormat="1" ht="64.5" customHeight="1" x14ac:dyDescent="0.5">
      <c r="A70" s="781" t="s">
        <v>717</v>
      </c>
      <c r="B70" s="737">
        <v>71479</v>
      </c>
      <c r="C70" s="737"/>
      <c r="D70" s="737">
        <f t="shared" ref="D70:D71" si="5">SUM(B70:C70)</f>
        <v>71479</v>
      </c>
    </row>
    <row r="71" spans="1:4" s="735" customFormat="1" ht="63.75" customHeight="1" thickBot="1" x14ac:dyDescent="0.55000000000000004">
      <c r="A71" s="782" t="s">
        <v>718</v>
      </c>
      <c r="B71" s="737">
        <v>142713</v>
      </c>
      <c r="C71" s="737"/>
      <c r="D71" s="737">
        <f t="shared" si="5"/>
        <v>142713</v>
      </c>
    </row>
    <row r="72" spans="1:4" s="735" customFormat="1" ht="63.75" customHeight="1" thickTop="1" thickBot="1" x14ac:dyDescent="0.55000000000000004">
      <c r="A72" s="779" t="s">
        <v>719</v>
      </c>
      <c r="B72" s="763">
        <f>SUM(B70:B71)</f>
        <v>214192</v>
      </c>
      <c r="C72" s="763">
        <f>SUM(C70:C71)</f>
        <v>0</v>
      </c>
      <c r="D72" s="763">
        <f>SUM(D70:D71)</f>
        <v>214192</v>
      </c>
    </row>
    <row r="73" spans="1:4" s="735" customFormat="1" ht="72" customHeight="1" thickTop="1" thickBot="1" x14ac:dyDescent="0.55000000000000004">
      <c r="A73" s="783" t="s">
        <v>720</v>
      </c>
      <c r="B73" s="784">
        <f>B14+B40+B62+B68+B72</f>
        <v>8338892</v>
      </c>
      <c r="C73" s="784">
        <f>C14+C40+C62+C68+C72</f>
        <v>9801</v>
      </c>
      <c r="D73" s="784">
        <f>D14+D40+D62+D68+D72</f>
        <v>8348693</v>
      </c>
    </row>
    <row r="74" spans="1:4" s="732" customFormat="1" ht="77.25" customHeight="1" x14ac:dyDescent="0.5">
      <c r="A74" s="785" t="s">
        <v>721</v>
      </c>
      <c r="B74" s="786"/>
      <c r="C74" s="786"/>
      <c r="D74" s="786"/>
    </row>
    <row r="75" spans="1:4" s="732" customFormat="1" ht="77.25" customHeight="1" x14ac:dyDescent="0.5">
      <c r="A75" s="787" t="s">
        <v>722</v>
      </c>
      <c r="B75" s="788"/>
      <c r="C75" s="788">
        <v>105185</v>
      </c>
      <c r="D75" s="788">
        <f t="shared" ref="D75:D82" si="6">SUM(B75:C75)</f>
        <v>105185</v>
      </c>
    </row>
    <row r="76" spans="1:4" s="732" customFormat="1" ht="77.25" customHeight="1" x14ac:dyDescent="0.45">
      <c r="A76" s="789" t="s">
        <v>723</v>
      </c>
      <c r="B76" s="790"/>
      <c r="C76" s="790">
        <f>C75</f>
        <v>105185</v>
      </c>
      <c r="D76" s="790">
        <f>SUM(B76:C76)</f>
        <v>105185</v>
      </c>
    </row>
    <row r="77" spans="1:4" s="735" customFormat="1" ht="60.75" customHeight="1" x14ac:dyDescent="0.5">
      <c r="A77" s="791" t="s">
        <v>724</v>
      </c>
      <c r="B77" s="792">
        <v>230670</v>
      </c>
      <c r="C77" s="792"/>
      <c r="D77" s="792">
        <f t="shared" si="6"/>
        <v>230670</v>
      </c>
    </row>
    <row r="78" spans="1:4" s="735" customFormat="1" ht="48.75" customHeight="1" x14ac:dyDescent="0.5">
      <c r="A78" s="791" t="s">
        <v>725</v>
      </c>
      <c r="B78" s="792">
        <v>188000</v>
      </c>
      <c r="C78" s="792"/>
      <c r="D78" s="792">
        <f t="shared" si="6"/>
        <v>188000</v>
      </c>
    </row>
    <row r="79" spans="1:4" s="764" customFormat="1" ht="52.5" customHeight="1" x14ac:dyDescent="0.5">
      <c r="A79" s="793" t="s">
        <v>726</v>
      </c>
      <c r="B79" s="792">
        <v>318266</v>
      </c>
      <c r="C79" s="792"/>
      <c r="D79" s="792">
        <f t="shared" si="6"/>
        <v>318266</v>
      </c>
    </row>
    <row r="80" spans="1:4" s="764" customFormat="1" ht="61.5" x14ac:dyDescent="0.5">
      <c r="A80" s="794" t="s">
        <v>727</v>
      </c>
      <c r="B80" s="792">
        <v>157338</v>
      </c>
      <c r="C80" s="792"/>
      <c r="D80" s="792">
        <f t="shared" si="6"/>
        <v>157338</v>
      </c>
    </row>
    <row r="81" spans="1:4" s="795" customFormat="1" ht="47.25" customHeight="1" x14ac:dyDescent="0.45">
      <c r="A81" s="789" t="s">
        <v>728</v>
      </c>
      <c r="B81" s="790">
        <f>SUM(B77:B80)</f>
        <v>894274</v>
      </c>
      <c r="C81" s="790">
        <f>SUM(C77:C80)</f>
        <v>0</v>
      </c>
      <c r="D81" s="790">
        <f>SUM(D77:D80)</f>
        <v>894274</v>
      </c>
    </row>
    <row r="82" spans="1:4" s="798" customFormat="1" ht="90" x14ac:dyDescent="0.5">
      <c r="A82" s="796" t="s">
        <v>429</v>
      </c>
      <c r="B82" s="797"/>
      <c r="C82" s="792">
        <v>2420</v>
      </c>
      <c r="D82" s="792">
        <f t="shared" si="6"/>
        <v>2420</v>
      </c>
    </row>
    <row r="83" spans="1:4" s="764" customFormat="1" ht="60.75" customHeight="1" x14ac:dyDescent="0.45">
      <c r="A83" s="799" t="s">
        <v>729</v>
      </c>
      <c r="B83" s="800">
        <f>B81+B76+B82</f>
        <v>894274</v>
      </c>
      <c r="C83" s="800">
        <f t="shared" ref="C83:D83" si="7">C81+C76+C82</f>
        <v>107605</v>
      </c>
      <c r="D83" s="800">
        <f t="shared" si="7"/>
        <v>1001879</v>
      </c>
    </row>
    <row r="84" spans="1:4" s="744" customFormat="1" ht="49.5" customHeight="1" x14ac:dyDescent="0.5">
      <c r="A84" s="801" t="s">
        <v>730</v>
      </c>
      <c r="B84" s="802">
        <f t="shared" ref="B84:D84" si="8">B83</f>
        <v>894274</v>
      </c>
      <c r="C84" s="802">
        <f t="shared" si="8"/>
        <v>107605</v>
      </c>
      <c r="D84" s="802">
        <f t="shared" si="8"/>
        <v>1001879</v>
      </c>
    </row>
    <row r="85" spans="1:4" s="744" customFormat="1" ht="48.75" customHeight="1" thickBot="1" x14ac:dyDescent="0.55000000000000004">
      <c r="A85" s="803" t="s">
        <v>731</v>
      </c>
      <c r="B85" s="804">
        <f>B73+B84</f>
        <v>9233166</v>
      </c>
      <c r="C85" s="804">
        <f>C73+C84</f>
        <v>117406</v>
      </c>
      <c r="D85" s="804">
        <f>D73+D84</f>
        <v>9350572</v>
      </c>
    </row>
    <row r="86" spans="1:4" ht="72" customHeight="1" thickTop="1" x14ac:dyDescent="0.3"/>
  </sheetData>
  <mergeCells count="2">
    <mergeCell ref="A1:D1"/>
    <mergeCell ref="A2:D2"/>
  </mergeCells>
  <printOptions horizontalCentered="1" verticalCentered="1"/>
  <pageMargins left="0" right="0" top="0" bottom="0" header="0.31496062992125984" footer="0.31496062992125984"/>
  <pageSetup paperSize="9" scale="25" orientation="portrait" r:id="rId1"/>
  <headerFooter>
    <oddHeader xml:space="preserve">&amp;R&amp;18 5. melléklet a 15/2025.(V.30.) önkormányzati rendelethez 
"5. melléklet 4&amp;22/2025.(II.28.) önkormányzati rendelethez"
 </oddHeader>
  </headerFooter>
  <rowBreaks count="1" manualBreakCount="1">
    <brk id="4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F4DBA-2F75-4EE2-8989-14EFB725A6E4}">
  <dimension ref="A1:DT49"/>
  <sheetViews>
    <sheetView zoomScale="50" zoomScaleNormal="50" zoomScaleSheetLayoutView="50" workbookViewId="0">
      <selection activeCell="AK46" sqref="AK45:DT46"/>
    </sheetView>
  </sheetViews>
  <sheetFormatPr defaultRowHeight="26.45" customHeight="1" x14ac:dyDescent="0.6"/>
  <cols>
    <col min="1" max="1" width="186.33203125" style="646" customWidth="1"/>
    <col min="2" max="10" width="50" style="722" customWidth="1"/>
    <col min="11" max="11" width="186.33203125" style="646" customWidth="1"/>
    <col min="12" max="20" width="50" style="722" customWidth="1"/>
    <col min="21" max="21" width="186.33203125" style="646" customWidth="1"/>
    <col min="22" max="22" width="49.83203125" style="716" customWidth="1"/>
    <col min="23" max="23" width="44.83203125" style="716" customWidth="1"/>
    <col min="24" max="24" width="49.83203125" style="716" customWidth="1"/>
    <col min="25" max="25" width="50" style="716" customWidth="1"/>
    <col min="26" max="26" width="45" style="716" customWidth="1"/>
    <col min="27" max="28" width="50" style="716" customWidth="1"/>
    <col min="29" max="29" width="45" style="716" customWidth="1"/>
    <col min="30" max="30" width="50" style="716" customWidth="1"/>
    <col min="31" max="36" width="49.83203125" style="716" customWidth="1"/>
    <col min="37" max="204" width="9.33203125" style="711"/>
    <col min="205" max="205" width="186.33203125" style="711" customWidth="1"/>
    <col min="206" max="214" width="50" style="711" customWidth="1"/>
    <col min="215" max="215" width="186.33203125" style="711" customWidth="1"/>
    <col min="216" max="224" width="50" style="711" customWidth="1"/>
    <col min="225" max="225" width="186.33203125" style="711" customWidth="1"/>
    <col min="226" max="226" width="49.83203125" style="711" customWidth="1"/>
    <col min="227" max="227" width="44.83203125" style="711" customWidth="1"/>
    <col min="228" max="228" width="49.83203125" style="711" customWidth="1"/>
    <col min="229" max="229" width="50" style="711" customWidth="1"/>
    <col min="230" max="230" width="45" style="711" customWidth="1"/>
    <col min="231" max="232" width="50" style="711" customWidth="1"/>
    <col min="233" max="233" width="45" style="711" customWidth="1"/>
    <col min="234" max="234" width="50" style="711" customWidth="1"/>
    <col min="235" max="240" width="49.83203125" style="711" customWidth="1"/>
    <col min="241" max="241" width="34.1640625" style="711" customWidth="1"/>
    <col min="242" max="242" width="32.83203125" style="711" customWidth="1"/>
    <col min="243" max="243" width="40.83203125" style="711" customWidth="1"/>
    <col min="244" max="244" width="186.33203125" style="711" customWidth="1"/>
    <col min="245" max="460" width="9.33203125" style="711"/>
    <col min="461" max="461" width="186.33203125" style="711" customWidth="1"/>
    <col min="462" max="470" width="50" style="711" customWidth="1"/>
    <col min="471" max="471" width="186.33203125" style="711" customWidth="1"/>
    <col min="472" max="480" width="50" style="711" customWidth="1"/>
    <col min="481" max="481" width="186.33203125" style="711" customWidth="1"/>
    <col min="482" max="482" width="49.83203125" style="711" customWidth="1"/>
    <col min="483" max="483" width="44.83203125" style="711" customWidth="1"/>
    <col min="484" max="484" width="49.83203125" style="711" customWidth="1"/>
    <col min="485" max="485" width="50" style="711" customWidth="1"/>
    <col min="486" max="486" width="45" style="711" customWidth="1"/>
    <col min="487" max="488" width="50" style="711" customWidth="1"/>
    <col min="489" max="489" width="45" style="711" customWidth="1"/>
    <col min="490" max="490" width="50" style="711" customWidth="1"/>
    <col min="491" max="496" width="49.83203125" style="711" customWidth="1"/>
    <col min="497" max="497" width="34.1640625" style="711" customWidth="1"/>
    <col min="498" max="498" width="32.83203125" style="711" customWidth="1"/>
    <col min="499" max="499" width="40.83203125" style="711" customWidth="1"/>
    <col min="500" max="500" width="186.33203125" style="711" customWidth="1"/>
    <col min="501" max="716" width="9.33203125" style="711"/>
    <col min="717" max="717" width="186.33203125" style="711" customWidth="1"/>
    <col min="718" max="726" width="50" style="711" customWidth="1"/>
    <col min="727" max="727" width="186.33203125" style="711" customWidth="1"/>
    <col min="728" max="736" width="50" style="711" customWidth="1"/>
    <col min="737" max="737" width="186.33203125" style="711" customWidth="1"/>
    <col min="738" max="738" width="49.83203125" style="711" customWidth="1"/>
    <col min="739" max="739" width="44.83203125" style="711" customWidth="1"/>
    <col min="740" max="740" width="49.83203125" style="711" customWidth="1"/>
    <col min="741" max="741" width="50" style="711" customWidth="1"/>
    <col min="742" max="742" width="45" style="711" customWidth="1"/>
    <col min="743" max="744" width="50" style="711" customWidth="1"/>
    <col min="745" max="745" width="45" style="711" customWidth="1"/>
    <col min="746" max="746" width="50" style="711" customWidth="1"/>
    <col min="747" max="752" width="49.83203125" style="711" customWidth="1"/>
    <col min="753" max="753" width="34.1640625" style="711" customWidth="1"/>
    <col min="754" max="754" width="32.83203125" style="711" customWidth="1"/>
    <col min="755" max="755" width="40.83203125" style="711" customWidth="1"/>
    <col min="756" max="756" width="186.33203125" style="711" customWidth="1"/>
    <col min="757" max="972" width="9.33203125" style="711"/>
    <col min="973" max="973" width="186.33203125" style="711" customWidth="1"/>
    <col min="974" max="982" width="50" style="711" customWidth="1"/>
    <col min="983" max="983" width="186.33203125" style="711" customWidth="1"/>
    <col min="984" max="992" width="50" style="711" customWidth="1"/>
    <col min="993" max="993" width="186.33203125" style="711" customWidth="1"/>
    <col min="994" max="994" width="49.83203125" style="711" customWidth="1"/>
    <col min="995" max="995" width="44.83203125" style="711" customWidth="1"/>
    <col min="996" max="996" width="49.83203125" style="711" customWidth="1"/>
    <col min="997" max="997" width="50" style="711" customWidth="1"/>
    <col min="998" max="998" width="45" style="711" customWidth="1"/>
    <col min="999" max="1000" width="50" style="711" customWidth="1"/>
    <col min="1001" max="1001" width="45" style="711" customWidth="1"/>
    <col min="1002" max="1002" width="50" style="711" customWidth="1"/>
    <col min="1003" max="1008" width="49.83203125" style="711" customWidth="1"/>
    <col min="1009" max="1009" width="34.1640625" style="711" customWidth="1"/>
    <col min="1010" max="1010" width="32.83203125" style="711" customWidth="1"/>
    <col min="1011" max="1011" width="40.83203125" style="711" customWidth="1"/>
    <col min="1012" max="1012" width="186.33203125" style="711" customWidth="1"/>
    <col min="1013" max="1228" width="9.33203125" style="711"/>
    <col min="1229" max="1229" width="186.33203125" style="711" customWidth="1"/>
    <col min="1230" max="1238" width="50" style="711" customWidth="1"/>
    <col min="1239" max="1239" width="186.33203125" style="711" customWidth="1"/>
    <col min="1240" max="1248" width="50" style="711" customWidth="1"/>
    <col min="1249" max="1249" width="186.33203125" style="711" customWidth="1"/>
    <col min="1250" max="1250" width="49.83203125" style="711" customWidth="1"/>
    <col min="1251" max="1251" width="44.83203125" style="711" customWidth="1"/>
    <col min="1252" max="1252" width="49.83203125" style="711" customWidth="1"/>
    <col min="1253" max="1253" width="50" style="711" customWidth="1"/>
    <col min="1254" max="1254" width="45" style="711" customWidth="1"/>
    <col min="1255" max="1256" width="50" style="711" customWidth="1"/>
    <col min="1257" max="1257" width="45" style="711" customWidth="1"/>
    <col min="1258" max="1258" width="50" style="711" customWidth="1"/>
    <col min="1259" max="1264" width="49.83203125" style="711" customWidth="1"/>
    <col min="1265" max="1265" width="34.1640625" style="711" customWidth="1"/>
    <col min="1266" max="1266" width="32.83203125" style="711" customWidth="1"/>
    <col min="1267" max="1267" width="40.83203125" style="711" customWidth="1"/>
    <col min="1268" max="1268" width="186.33203125" style="711" customWidth="1"/>
    <col min="1269" max="1484" width="9.33203125" style="711"/>
    <col min="1485" max="1485" width="186.33203125" style="711" customWidth="1"/>
    <col min="1486" max="1494" width="50" style="711" customWidth="1"/>
    <col min="1495" max="1495" width="186.33203125" style="711" customWidth="1"/>
    <col min="1496" max="1504" width="50" style="711" customWidth="1"/>
    <col min="1505" max="1505" width="186.33203125" style="711" customWidth="1"/>
    <col min="1506" max="1506" width="49.83203125" style="711" customWidth="1"/>
    <col min="1507" max="1507" width="44.83203125" style="711" customWidth="1"/>
    <col min="1508" max="1508" width="49.83203125" style="711" customWidth="1"/>
    <col min="1509" max="1509" width="50" style="711" customWidth="1"/>
    <col min="1510" max="1510" width="45" style="711" customWidth="1"/>
    <col min="1511" max="1512" width="50" style="711" customWidth="1"/>
    <col min="1513" max="1513" width="45" style="711" customWidth="1"/>
    <col min="1514" max="1514" width="50" style="711" customWidth="1"/>
    <col min="1515" max="1520" width="49.83203125" style="711" customWidth="1"/>
    <col min="1521" max="1521" width="34.1640625" style="711" customWidth="1"/>
    <col min="1522" max="1522" width="32.83203125" style="711" customWidth="1"/>
    <col min="1523" max="1523" width="40.83203125" style="711" customWidth="1"/>
    <col min="1524" max="1524" width="186.33203125" style="711" customWidth="1"/>
    <col min="1525" max="1740" width="9.33203125" style="711"/>
    <col min="1741" max="1741" width="186.33203125" style="711" customWidth="1"/>
    <col min="1742" max="1750" width="50" style="711" customWidth="1"/>
    <col min="1751" max="1751" width="186.33203125" style="711" customWidth="1"/>
    <col min="1752" max="1760" width="50" style="711" customWidth="1"/>
    <col min="1761" max="1761" width="186.33203125" style="711" customWidth="1"/>
    <col min="1762" max="1762" width="49.83203125" style="711" customWidth="1"/>
    <col min="1763" max="1763" width="44.83203125" style="711" customWidth="1"/>
    <col min="1764" max="1764" width="49.83203125" style="711" customWidth="1"/>
    <col min="1765" max="1765" width="50" style="711" customWidth="1"/>
    <col min="1766" max="1766" width="45" style="711" customWidth="1"/>
    <col min="1767" max="1768" width="50" style="711" customWidth="1"/>
    <col min="1769" max="1769" width="45" style="711" customWidth="1"/>
    <col min="1770" max="1770" width="50" style="711" customWidth="1"/>
    <col min="1771" max="1776" width="49.83203125" style="711" customWidth="1"/>
    <col min="1777" max="1777" width="34.1640625" style="711" customWidth="1"/>
    <col min="1778" max="1778" width="32.83203125" style="711" customWidth="1"/>
    <col min="1779" max="1779" width="40.83203125" style="711" customWidth="1"/>
    <col min="1780" max="1780" width="186.33203125" style="711" customWidth="1"/>
    <col min="1781" max="1996" width="9.33203125" style="711"/>
    <col min="1997" max="1997" width="186.33203125" style="711" customWidth="1"/>
    <col min="1998" max="2006" width="50" style="711" customWidth="1"/>
    <col min="2007" max="2007" width="186.33203125" style="711" customWidth="1"/>
    <col min="2008" max="2016" width="50" style="711" customWidth="1"/>
    <col min="2017" max="2017" width="186.33203125" style="711" customWidth="1"/>
    <col min="2018" max="2018" width="49.83203125" style="711" customWidth="1"/>
    <col min="2019" max="2019" width="44.83203125" style="711" customWidth="1"/>
    <col min="2020" max="2020" width="49.83203125" style="711" customWidth="1"/>
    <col min="2021" max="2021" width="50" style="711" customWidth="1"/>
    <col min="2022" max="2022" width="45" style="711" customWidth="1"/>
    <col min="2023" max="2024" width="50" style="711" customWidth="1"/>
    <col min="2025" max="2025" width="45" style="711" customWidth="1"/>
    <col min="2026" max="2026" width="50" style="711" customWidth="1"/>
    <col min="2027" max="2032" width="49.83203125" style="711" customWidth="1"/>
    <col min="2033" max="2033" width="34.1640625" style="711" customWidth="1"/>
    <col min="2034" max="2034" width="32.83203125" style="711" customWidth="1"/>
    <col min="2035" max="2035" width="40.83203125" style="711" customWidth="1"/>
    <col min="2036" max="2036" width="186.33203125" style="711" customWidth="1"/>
    <col min="2037" max="2252" width="9.33203125" style="711"/>
    <col min="2253" max="2253" width="186.33203125" style="711" customWidth="1"/>
    <col min="2254" max="2262" width="50" style="711" customWidth="1"/>
    <col min="2263" max="2263" width="186.33203125" style="711" customWidth="1"/>
    <col min="2264" max="2272" width="50" style="711" customWidth="1"/>
    <col min="2273" max="2273" width="186.33203125" style="711" customWidth="1"/>
    <col min="2274" max="2274" width="49.83203125" style="711" customWidth="1"/>
    <col min="2275" max="2275" width="44.83203125" style="711" customWidth="1"/>
    <col min="2276" max="2276" width="49.83203125" style="711" customWidth="1"/>
    <col min="2277" max="2277" width="50" style="711" customWidth="1"/>
    <col min="2278" max="2278" width="45" style="711" customWidth="1"/>
    <col min="2279" max="2280" width="50" style="711" customWidth="1"/>
    <col min="2281" max="2281" width="45" style="711" customWidth="1"/>
    <col min="2282" max="2282" width="50" style="711" customWidth="1"/>
    <col min="2283" max="2288" width="49.83203125" style="711" customWidth="1"/>
    <col min="2289" max="2289" width="34.1640625" style="711" customWidth="1"/>
    <col min="2290" max="2290" width="32.83203125" style="711" customWidth="1"/>
    <col min="2291" max="2291" width="40.83203125" style="711" customWidth="1"/>
    <col min="2292" max="2292" width="186.33203125" style="711" customWidth="1"/>
    <col min="2293" max="2508" width="9.33203125" style="711"/>
    <col min="2509" max="2509" width="186.33203125" style="711" customWidth="1"/>
    <col min="2510" max="2518" width="50" style="711" customWidth="1"/>
    <col min="2519" max="2519" width="186.33203125" style="711" customWidth="1"/>
    <col min="2520" max="2528" width="50" style="711" customWidth="1"/>
    <col min="2529" max="2529" width="186.33203125" style="711" customWidth="1"/>
    <col min="2530" max="2530" width="49.83203125" style="711" customWidth="1"/>
    <col min="2531" max="2531" width="44.83203125" style="711" customWidth="1"/>
    <col min="2532" max="2532" width="49.83203125" style="711" customWidth="1"/>
    <col min="2533" max="2533" width="50" style="711" customWidth="1"/>
    <col min="2534" max="2534" width="45" style="711" customWidth="1"/>
    <col min="2535" max="2536" width="50" style="711" customWidth="1"/>
    <col min="2537" max="2537" width="45" style="711" customWidth="1"/>
    <col min="2538" max="2538" width="50" style="711" customWidth="1"/>
    <col min="2539" max="2544" width="49.83203125" style="711" customWidth="1"/>
    <col min="2545" max="2545" width="34.1640625" style="711" customWidth="1"/>
    <col min="2546" max="2546" width="32.83203125" style="711" customWidth="1"/>
    <col min="2547" max="2547" width="40.83203125" style="711" customWidth="1"/>
    <col min="2548" max="2548" width="186.33203125" style="711" customWidth="1"/>
    <col min="2549" max="2764" width="9.33203125" style="711"/>
    <col min="2765" max="2765" width="186.33203125" style="711" customWidth="1"/>
    <col min="2766" max="2774" width="50" style="711" customWidth="1"/>
    <col min="2775" max="2775" width="186.33203125" style="711" customWidth="1"/>
    <col min="2776" max="2784" width="50" style="711" customWidth="1"/>
    <col min="2785" max="2785" width="186.33203125" style="711" customWidth="1"/>
    <col min="2786" max="2786" width="49.83203125" style="711" customWidth="1"/>
    <col min="2787" max="2787" width="44.83203125" style="711" customWidth="1"/>
    <col min="2788" max="2788" width="49.83203125" style="711" customWidth="1"/>
    <col min="2789" max="2789" width="50" style="711" customWidth="1"/>
    <col min="2790" max="2790" width="45" style="711" customWidth="1"/>
    <col min="2791" max="2792" width="50" style="711" customWidth="1"/>
    <col min="2793" max="2793" width="45" style="711" customWidth="1"/>
    <col min="2794" max="2794" width="50" style="711" customWidth="1"/>
    <col min="2795" max="2800" width="49.83203125" style="711" customWidth="1"/>
    <col min="2801" max="2801" width="34.1640625" style="711" customWidth="1"/>
    <col min="2802" max="2802" width="32.83203125" style="711" customWidth="1"/>
    <col min="2803" max="2803" width="40.83203125" style="711" customWidth="1"/>
    <col min="2804" max="2804" width="186.33203125" style="711" customWidth="1"/>
    <col min="2805" max="3020" width="9.33203125" style="711"/>
    <col min="3021" max="3021" width="186.33203125" style="711" customWidth="1"/>
    <col min="3022" max="3030" width="50" style="711" customWidth="1"/>
    <col min="3031" max="3031" width="186.33203125" style="711" customWidth="1"/>
    <col min="3032" max="3040" width="50" style="711" customWidth="1"/>
    <col min="3041" max="3041" width="186.33203125" style="711" customWidth="1"/>
    <col min="3042" max="3042" width="49.83203125" style="711" customWidth="1"/>
    <col min="3043" max="3043" width="44.83203125" style="711" customWidth="1"/>
    <col min="3044" max="3044" width="49.83203125" style="711" customWidth="1"/>
    <col min="3045" max="3045" width="50" style="711" customWidth="1"/>
    <col min="3046" max="3046" width="45" style="711" customWidth="1"/>
    <col min="3047" max="3048" width="50" style="711" customWidth="1"/>
    <col min="3049" max="3049" width="45" style="711" customWidth="1"/>
    <col min="3050" max="3050" width="50" style="711" customWidth="1"/>
    <col min="3051" max="3056" width="49.83203125" style="711" customWidth="1"/>
    <col min="3057" max="3057" width="34.1640625" style="711" customWidth="1"/>
    <col min="3058" max="3058" width="32.83203125" style="711" customWidth="1"/>
    <col min="3059" max="3059" width="40.83203125" style="711" customWidth="1"/>
    <col min="3060" max="3060" width="186.33203125" style="711" customWidth="1"/>
    <col min="3061" max="3276" width="9.33203125" style="711"/>
    <col min="3277" max="3277" width="186.33203125" style="711" customWidth="1"/>
    <col min="3278" max="3286" width="50" style="711" customWidth="1"/>
    <col min="3287" max="3287" width="186.33203125" style="711" customWidth="1"/>
    <col min="3288" max="3296" width="50" style="711" customWidth="1"/>
    <col min="3297" max="3297" width="186.33203125" style="711" customWidth="1"/>
    <col min="3298" max="3298" width="49.83203125" style="711" customWidth="1"/>
    <col min="3299" max="3299" width="44.83203125" style="711" customWidth="1"/>
    <col min="3300" max="3300" width="49.83203125" style="711" customWidth="1"/>
    <col min="3301" max="3301" width="50" style="711" customWidth="1"/>
    <col min="3302" max="3302" width="45" style="711" customWidth="1"/>
    <col min="3303" max="3304" width="50" style="711" customWidth="1"/>
    <col min="3305" max="3305" width="45" style="711" customWidth="1"/>
    <col min="3306" max="3306" width="50" style="711" customWidth="1"/>
    <col min="3307" max="3312" width="49.83203125" style="711" customWidth="1"/>
    <col min="3313" max="3313" width="34.1640625" style="711" customWidth="1"/>
    <col min="3314" max="3314" width="32.83203125" style="711" customWidth="1"/>
    <col min="3315" max="3315" width="40.83203125" style="711" customWidth="1"/>
    <col min="3316" max="3316" width="186.33203125" style="711" customWidth="1"/>
    <col min="3317" max="3532" width="9.33203125" style="711"/>
    <col min="3533" max="3533" width="186.33203125" style="711" customWidth="1"/>
    <col min="3534" max="3542" width="50" style="711" customWidth="1"/>
    <col min="3543" max="3543" width="186.33203125" style="711" customWidth="1"/>
    <col min="3544" max="3552" width="50" style="711" customWidth="1"/>
    <col min="3553" max="3553" width="186.33203125" style="711" customWidth="1"/>
    <col min="3554" max="3554" width="49.83203125" style="711" customWidth="1"/>
    <col min="3555" max="3555" width="44.83203125" style="711" customWidth="1"/>
    <col min="3556" max="3556" width="49.83203125" style="711" customWidth="1"/>
    <col min="3557" max="3557" width="50" style="711" customWidth="1"/>
    <col min="3558" max="3558" width="45" style="711" customWidth="1"/>
    <col min="3559" max="3560" width="50" style="711" customWidth="1"/>
    <col min="3561" max="3561" width="45" style="711" customWidth="1"/>
    <col min="3562" max="3562" width="50" style="711" customWidth="1"/>
    <col min="3563" max="3568" width="49.83203125" style="711" customWidth="1"/>
    <col min="3569" max="3569" width="34.1640625" style="711" customWidth="1"/>
    <col min="3570" max="3570" width="32.83203125" style="711" customWidth="1"/>
    <col min="3571" max="3571" width="40.83203125" style="711" customWidth="1"/>
    <col min="3572" max="3572" width="186.33203125" style="711" customWidth="1"/>
    <col min="3573" max="3788" width="9.33203125" style="711"/>
    <col min="3789" max="3789" width="186.33203125" style="711" customWidth="1"/>
    <col min="3790" max="3798" width="50" style="711" customWidth="1"/>
    <col min="3799" max="3799" width="186.33203125" style="711" customWidth="1"/>
    <col min="3800" max="3808" width="50" style="711" customWidth="1"/>
    <col min="3809" max="3809" width="186.33203125" style="711" customWidth="1"/>
    <col min="3810" max="3810" width="49.83203125" style="711" customWidth="1"/>
    <col min="3811" max="3811" width="44.83203125" style="711" customWidth="1"/>
    <col min="3812" max="3812" width="49.83203125" style="711" customWidth="1"/>
    <col min="3813" max="3813" width="50" style="711" customWidth="1"/>
    <col min="3814" max="3814" width="45" style="711" customWidth="1"/>
    <col min="3815" max="3816" width="50" style="711" customWidth="1"/>
    <col min="3817" max="3817" width="45" style="711" customWidth="1"/>
    <col min="3818" max="3818" width="50" style="711" customWidth="1"/>
    <col min="3819" max="3824" width="49.83203125" style="711" customWidth="1"/>
    <col min="3825" max="3825" width="34.1640625" style="711" customWidth="1"/>
    <col min="3826" max="3826" width="32.83203125" style="711" customWidth="1"/>
    <col min="3827" max="3827" width="40.83203125" style="711" customWidth="1"/>
    <col min="3828" max="3828" width="186.33203125" style="711" customWidth="1"/>
    <col min="3829" max="4044" width="9.33203125" style="711"/>
    <col min="4045" max="4045" width="186.33203125" style="711" customWidth="1"/>
    <col min="4046" max="4054" width="50" style="711" customWidth="1"/>
    <col min="4055" max="4055" width="186.33203125" style="711" customWidth="1"/>
    <col min="4056" max="4064" width="50" style="711" customWidth="1"/>
    <col min="4065" max="4065" width="186.33203125" style="711" customWidth="1"/>
    <col min="4066" max="4066" width="49.83203125" style="711" customWidth="1"/>
    <col min="4067" max="4067" width="44.83203125" style="711" customWidth="1"/>
    <col min="4068" max="4068" width="49.83203125" style="711" customWidth="1"/>
    <col min="4069" max="4069" width="50" style="711" customWidth="1"/>
    <col min="4070" max="4070" width="45" style="711" customWidth="1"/>
    <col min="4071" max="4072" width="50" style="711" customWidth="1"/>
    <col min="4073" max="4073" width="45" style="711" customWidth="1"/>
    <col min="4074" max="4074" width="50" style="711" customWidth="1"/>
    <col min="4075" max="4080" width="49.83203125" style="711" customWidth="1"/>
    <col min="4081" max="4081" width="34.1640625" style="711" customWidth="1"/>
    <col min="4082" max="4082" width="32.83203125" style="711" customWidth="1"/>
    <col min="4083" max="4083" width="40.83203125" style="711" customWidth="1"/>
    <col min="4084" max="4084" width="186.33203125" style="711" customWidth="1"/>
    <col min="4085" max="4300" width="9.33203125" style="711"/>
    <col min="4301" max="4301" width="186.33203125" style="711" customWidth="1"/>
    <col min="4302" max="4310" width="50" style="711" customWidth="1"/>
    <col min="4311" max="4311" width="186.33203125" style="711" customWidth="1"/>
    <col min="4312" max="4320" width="50" style="711" customWidth="1"/>
    <col min="4321" max="4321" width="186.33203125" style="711" customWidth="1"/>
    <col min="4322" max="4322" width="49.83203125" style="711" customWidth="1"/>
    <col min="4323" max="4323" width="44.83203125" style="711" customWidth="1"/>
    <col min="4324" max="4324" width="49.83203125" style="711" customWidth="1"/>
    <col min="4325" max="4325" width="50" style="711" customWidth="1"/>
    <col min="4326" max="4326" width="45" style="711" customWidth="1"/>
    <col min="4327" max="4328" width="50" style="711" customWidth="1"/>
    <col min="4329" max="4329" width="45" style="711" customWidth="1"/>
    <col min="4330" max="4330" width="50" style="711" customWidth="1"/>
    <col min="4331" max="4336" width="49.83203125" style="711" customWidth="1"/>
    <col min="4337" max="4337" width="34.1640625" style="711" customWidth="1"/>
    <col min="4338" max="4338" width="32.83203125" style="711" customWidth="1"/>
    <col min="4339" max="4339" width="40.83203125" style="711" customWidth="1"/>
    <col min="4340" max="4340" width="186.33203125" style="711" customWidth="1"/>
    <col min="4341" max="4556" width="9.33203125" style="711"/>
    <col min="4557" max="4557" width="186.33203125" style="711" customWidth="1"/>
    <col min="4558" max="4566" width="50" style="711" customWidth="1"/>
    <col min="4567" max="4567" width="186.33203125" style="711" customWidth="1"/>
    <col min="4568" max="4576" width="50" style="711" customWidth="1"/>
    <col min="4577" max="4577" width="186.33203125" style="711" customWidth="1"/>
    <col min="4578" max="4578" width="49.83203125" style="711" customWidth="1"/>
    <col min="4579" max="4579" width="44.83203125" style="711" customWidth="1"/>
    <col min="4580" max="4580" width="49.83203125" style="711" customWidth="1"/>
    <col min="4581" max="4581" width="50" style="711" customWidth="1"/>
    <col min="4582" max="4582" width="45" style="711" customWidth="1"/>
    <col min="4583" max="4584" width="50" style="711" customWidth="1"/>
    <col min="4585" max="4585" width="45" style="711" customWidth="1"/>
    <col min="4586" max="4586" width="50" style="711" customWidth="1"/>
    <col min="4587" max="4592" width="49.83203125" style="711" customWidth="1"/>
    <col min="4593" max="4593" width="34.1640625" style="711" customWidth="1"/>
    <col min="4594" max="4594" width="32.83203125" style="711" customWidth="1"/>
    <col min="4595" max="4595" width="40.83203125" style="711" customWidth="1"/>
    <col min="4596" max="4596" width="186.33203125" style="711" customWidth="1"/>
    <col min="4597" max="4812" width="9.33203125" style="711"/>
    <col min="4813" max="4813" width="186.33203125" style="711" customWidth="1"/>
    <col min="4814" max="4822" width="50" style="711" customWidth="1"/>
    <col min="4823" max="4823" width="186.33203125" style="711" customWidth="1"/>
    <col min="4824" max="4832" width="50" style="711" customWidth="1"/>
    <col min="4833" max="4833" width="186.33203125" style="711" customWidth="1"/>
    <col min="4834" max="4834" width="49.83203125" style="711" customWidth="1"/>
    <col min="4835" max="4835" width="44.83203125" style="711" customWidth="1"/>
    <col min="4836" max="4836" width="49.83203125" style="711" customWidth="1"/>
    <col min="4837" max="4837" width="50" style="711" customWidth="1"/>
    <col min="4838" max="4838" width="45" style="711" customWidth="1"/>
    <col min="4839" max="4840" width="50" style="711" customWidth="1"/>
    <col min="4841" max="4841" width="45" style="711" customWidth="1"/>
    <col min="4842" max="4842" width="50" style="711" customWidth="1"/>
    <col min="4843" max="4848" width="49.83203125" style="711" customWidth="1"/>
    <col min="4849" max="4849" width="34.1640625" style="711" customWidth="1"/>
    <col min="4850" max="4850" width="32.83203125" style="711" customWidth="1"/>
    <col min="4851" max="4851" width="40.83203125" style="711" customWidth="1"/>
    <col min="4852" max="4852" width="186.33203125" style="711" customWidth="1"/>
    <col min="4853" max="5068" width="9.33203125" style="711"/>
    <col min="5069" max="5069" width="186.33203125" style="711" customWidth="1"/>
    <col min="5070" max="5078" width="50" style="711" customWidth="1"/>
    <col min="5079" max="5079" width="186.33203125" style="711" customWidth="1"/>
    <col min="5080" max="5088" width="50" style="711" customWidth="1"/>
    <col min="5089" max="5089" width="186.33203125" style="711" customWidth="1"/>
    <col min="5090" max="5090" width="49.83203125" style="711" customWidth="1"/>
    <col min="5091" max="5091" width="44.83203125" style="711" customWidth="1"/>
    <col min="5092" max="5092" width="49.83203125" style="711" customWidth="1"/>
    <col min="5093" max="5093" width="50" style="711" customWidth="1"/>
    <col min="5094" max="5094" width="45" style="711" customWidth="1"/>
    <col min="5095" max="5096" width="50" style="711" customWidth="1"/>
    <col min="5097" max="5097" width="45" style="711" customWidth="1"/>
    <col min="5098" max="5098" width="50" style="711" customWidth="1"/>
    <col min="5099" max="5104" width="49.83203125" style="711" customWidth="1"/>
    <col min="5105" max="5105" width="34.1640625" style="711" customWidth="1"/>
    <col min="5106" max="5106" width="32.83203125" style="711" customWidth="1"/>
    <col min="5107" max="5107" width="40.83203125" style="711" customWidth="1"/>
    <col min="5108" max="5108" width="186.33203125" style="711" customWidth="1"/>
    <col min="5109" max="5324" width="9.33203125" style="711"/>
    <col min="5325" max="5325" width="186.33203125" style="711" customWidth="1"/>
    <col min="5326" max="5334" width="50" style="711" customWidth="1"/>
    <col min="5335" max="5335" width="186.33203125" style="711" customWidth="1"/>
    <col min="5336" max="5344" width="50" style="711" customWidth="1"/>
    <col min="5345" max="5345" width="186.33203125" style="711" customWidth="1"/>
    <col min="5346" max="5346" width="49.83203125" style="711" customWidth="1"/>
    <col min="5347" max="5347" width="44.83203125" style="711" customWidth="1"/>
    <col min="5348" max="5348" width="49.83203125" style="711" customWidth="1"/>
    <col min="5349" max="5349" width="50" style="711" customWidth="1"/>
    <col min="5350" max="5350" width="45" style="711" customWidth="1"/>
    <col min="5351" max="5352" width="50" style="711" customWidth="1"/>
    <col min="5353" max="5353" width="45" style="711" customWidth="1"/>
    <col min="5354" max="5354" width="50" style="711" customWidth="1"/>
    <col min="5355" max="5360" width="49.83203125" style="711" customWidth="1"/>
    <col min="5361" max="5361" width="34.1640625" style="711" customWidth="1"/>
    <col min="5362" max="5362" width="32.83203125" style="711" customWidth="1"/>
    <col min="5363" max="5363" width="40.83203125" style="711" customWidth="1"/>
    <col min="5364" max="5364" width="186.33203125" style="711" customWidth="1"/>
    <col min="5365" max="5580" width="9.33203125" style="711"/>
    <col min="5581" max="5581" width="186.33203125" style="711" customWidth="1"/>
    <col min="5582" max="5590" width="50" style="711" customWidth="1"/>
    <col min="5591" max="5591" width="186.33203125" style="711" customWidth="1"/>
    <col min="5592" max="5600" width="50" style="711" customWidth="1"/>
    <col min="5601" max="5601" width="186.33203125" style="711" customWidth="1"/>
    <col min="5602" max="5602" width="49.83203125" style="711" customWidth="1"/>
    <col min="5603" max="5603" width="44.83203125" style="711" customWidth="1"/>
    <col min="5604" max="5604" width="49.83203125" style="711" customWidth="1"/>
    <col min="5605" max="5605" width="50" style="711" customWidth="1"/>
    <col min="5606" max="5606" width="45" style="711" customWidth="1"/>
    <col min="5607" max="5608" width="50" style="711" customWidth="1"/>
    <col min="5609" max="5609" width="45" style="711" customWidth="1"/>
    <col min="5610" max="5610" width="50" style="711" customWidth="1"/>
    <col min="5611" max="5616" width="49.83203125" style="711" customWidth="1"/>
    <col min="5617" max="5617" width="34.1640625" style="711" customWidth="1"/>
    <col min="5618" max="5618" width="32.83203125" style="711" customWidth="1"/>
    <col min="5619" max="5619" width="40.83203125" style="711" customWidth="1"/>
    <col min="5620" max="5620" width="186.33203125" style="711" customWidth="1"/>
    <col min="5621" max="5836" width="9.33203125" style="711"/>
    <col min="5837" max="5837" width="186.33203125" style="711" customWidth="1"/>
    <col min="5838" max="5846" width="50" style="711" customWidth="1"/>
    <col min="5847" max="5847" width="186.33203125" style="711" customWidth="1"/>
    <col min="5848" max="5856" width="50" style="711" customWidth="1"/>
    <col min="5857" max="5857" width="186.33203125" style="711" customWidth="1"/>
    <col min="5858" max="5858" width="49.83203125" style="711" customWidth="1"/>
    <col min="5859" max="5859" width="44.83203125" style="711" customWidth="1"/>
    <col min="5860" max="5860" width="49.83203125" style="711" customWidth="1"/>
    <col min="5861" max="5861" width="50" style="711" customWidth="1"/>
    <col min="5862" max="5862" width="45" style="711" customWidth="1"/>
    <col min="5863" max="5864" width="50" style="711" customWidth="1"/>
    <col min="5865" max="5865" width="45" style="711" customWidth="1"/>
    <col min="5866" max="5866" width="50" style="711" customWidth="1"/>
    <col min="5867" max="5872" width="49.83203125" style="711" customWidth="1"/>
    <col min="5873" max="5873" width="34.1640625" style="711" customWidth="1"/>
    <col min="5874" max="5874" width="32.83203125" style="711" customWidth="1"/>
    <col min="5875" max="5875" width="40.83203125" style="711" customWidth="1"/>
    <col min="5876" max="5876" width="186.33203125" style="711" customWidth="1"/>
    <col min="5877" max="6092" width="9.33203125" style="711"/>
    <col min="6093" max="6093" width="186.33203125" style="711" customWidth="1"/>
    <col min="6094" max="6102" width="50" style="711" customWidth="1"/>
    <col min="6103" max="6103" width="186.33203125" style="711" customWidth="1"/>
    <col min="6104" max="6112" width="50" style="711" customWidth="1"/>
    <col min="6113" max="6113" width="186.33203125" style="711" customWidth="1"/>
    <col min="6114" max="6114" width="49.83203125" style="711" customWidth="1"/>
    <col min="6115" max="6115" width="44.83203125" style="711" customWidth="1"/>
    <col min="6116" max="6116" width="49.83203125" style="711" customWidth="1"/>
    <col min="6117" max="6117" width="50" style="711" customWidth="1"/>
    <col min="6118" max="6118" width="45" style="711" customWidth="1"/>
    <col min="6119" max="6120" width="50" style="711" customWidth="1"/>
    <col min="6121" max="6121" width="45" style="711" customWidth="1"/>
    <col min="6122" max="6122" width="50" style="711" customWidth="1"/>
    <col min="6123" max="6128" width="49.83203125" style="711" customWidth="1"/>
    <col min="6129" max="6129" width="34.1640625" style="711" customWidth="1"/>
    <col min="6130" max="6130" width="32.83203125" style="711" customWidth="1"/>
    <col min="6131" max="6131" width="40.83203125" style="711" customWidth="1"/>
    <col min="6132" max="6132" width="186.33203125" style="711" customWidth="1"/>
    <col min="6133" max="6348" width="9.33203125" style="711"/>
    <col min="6349" max="6349" width="186.33203125" style="711" customWidth="1"/>
    <col min="6350" max="6358" width="50" style="711" customWidth="1"/>
    <col min="6359" max="6359" width="186.33203125" style="711" customWidth="1"/>
    <col min="6360" max="6368" width="50" style="711" customWidth="1"/>
    <col min="6369" max="6369" width="186.33203125" style="711" customWidth="1"/>
    <col min="6370" max="6370" width="49.83203125" style="711" customWidth="1"/>
    <col min="6371" max="6371" width="44.83203125" style="711" customWidth="1"/>
    <col min="6372" max="6372" width="49.83203125" style="711" customWidth="1"/>
    <col min="6373" max="6373" width="50" style="711" customWidth="1"/>
    <col min="6374" max="6374" width="45" style="711" customWidth="1"/>
    <col min="6375" max="6376" width="50" style="711" customWidth="1"/>
    <col min="6377" max="6377" width="45" style="711" customWidth="1"/>
    <col min="6378" max="6378" width="50" style="711" customWidth="1"/>
    <col min="6379" max="6384" width="49.83203125" style="711" customWidth="1"/>
    <col min="6385" max="6385" width="34.1640625" style="711" customWidth="1"/>
    <col min="6386" max="6386" width="32.83203125" style="711" customWidth="1"/>
    <col min="6387" max="6387" width="40.83203125" style="711" customWidth="1"/>
    <col min="6388" max="6388" width="186.33203125" style="711" customWidth="1"/>
    <col min="6389" max="6604" width="9.33203125" style="711"/>
    <col min="6605" max="6605" width="186.33203125" style="711" customWidth="1"/>
    <col min="6606" max="6614" width="50" style="711" customWidth="1"/>
    <col min="6615" max="6615" width="186.33203125" style="711" customWidth="1"/>
    <col min="6616" max="6624" width="50" style="711" customWidth="1"/>
    <col min="6625" max="6625" width="186.33203125" style="711" customWidth="1"/>
    <col min="6626" max="6626" width="49.83203125" style="711" customWidth="1"/>
    <col min="6627" max="6627" width="44.83203125" style="711" customWidth="1"/>
    <col min="6628" max="6628" width="49.83203125" style="711" customWidth="1"/>
    <col min="6629" max="6629" width="50" style="711" customWidth="1"/>
    <col min="6630" max="6630" width="45" style="711" customWidth="1"/>
    <col min="6631" max="6632" width="50" style="711" customWidth="1"/>
    <col min="6633" max="6633" width="45" style="711" customWidth="1"/>
    <col min="6634" max="6634" width="50" style="711" customWidth="1"/>
    <col min="6635" max="6640" width="49.83203125" style="711" customWidth="1"/>
    <col min="6641" max="6641" width="34.1640625" style="711" customWidth="1"/>
    <col min="6642" max="6642" width="32.83203125" style="711" customWidth="1"/>
    <col min="6643" max="6643" width="40.83203125" style="711" customWidth="1"/>
    <col min="6644" max="6644" width="186.33203125" style="711" customWidth="1"/>
    <col min="6645" max="6860" width="9.33203125" style="711"/>
    <col min="6861" max="6861" width="186.33203125" style="711" customWidth="1"/>
    <col min="6862" max="6870" width="50" style="711" customWidth="1"/>
    <col min="6871" max="6871" width="186.33203125" style="711" customWidth="1"/>
    <col min="6872" max="6880" width="50" style="711" customWidth="1"/>
    <col min="6881" max="6881" width="186.33203125" style="711" customWidth="1"/>
    <col min="6882" max="6882" width="49.83203125" style="711" customWidth="1"/>
    <col min="6883" max="6883" width="44.83203125" style="711" customWidth="1"/>
    <col min="6884" max="6884" width="49.83203125" style="711" customWidth="1"/>
    <col min="6885" max="6885" width="50" style="711" customWidth="1"/>
    <col min="6886" max="6886" width="45" style="711" customWidth="1"/>
    <col min="6887" max="6888" width="50" style="711" customWidth="1"/>
    <col min="6889" max="6889" width="45" style="711" customWidth="1"/>
    <col min="6890" max="6890" width="50" style="711" customWidth="1"/>
    <col min="6891" max="6896" width="49.83203125" style="711" customWidth="1"/>
    <col min="6897" max="6897" width="34.1640625" style="711" customWidth="1"/>
    <col min="6898" max="6898" width="32.83203125" style="711" customWidth="1"/>
    <col min="6899" max="6899" width="40.83203125" style="711" customWidth="1"/>
    <col min="6900" max="6900" width="186.33203125" style="711" customWidth="1"/>
    <col min="6901" max="7116" width="9.33203125" style="711"/>
    <col min="7117" max="7117" width="186.33203125" style="711" customWidth="1"/>
    <col min="7118" max="7126" width="50" style="711" customWidth="1"/>
    <col min="7127" max="7127" width="186.33203125" style="711" customWidth="1"/>
    <col min="7128" max="7136" width="50" style="711" customWidth="1"/>
    <col min="7137" max="7137" width="186.33203125" style="711" customWidth="1"/>
    <col min="7138" max="7138" width="49.83203125" style="711" customWidth="1"/>
    <col min="7139" max="7139" width="44.83203125" style="711" customWidth="1"/>
    <col min="7140" max="7140" width="49.83203125" style="711" customWidth="1"/>
    <col min="7141" max="7141" width="50" style="711" customWidth="1"/>
    <col min="7142" max="7142" width="45" style="711" customWidth="1"/>
    <col min="7143" max="7144" width="50" style="711" customWidth="1"/>
    <col min="7145" max="7145" width="45" style="711" customWidth="1"/>
    <col min="7146" max="7146" width="50" style="711" customWidth="1"/>
    <col min="7147" max="7152" width="49.83203125" style="711" customWidth="1"/>
    <col min="7153" max="7153" width="34.1640625" style="711" customWidth="1"/>
    <col min="7154" max="7154" width="32.83203125" style="711" customWidth="1"/>
    <col min="7155" max="7155" width="40.83203125" style="711" customWidth="1"/>
    <col min="7156" max="7156" width="186.33203125" style="711" customWidth="1"/>
    <col min="7157" max="7372" width="9.33203125" style="711"/>
    <col min="7373" max="7373" width="186.33203125" style="711" customWidth="1"/>
    <col min="7374" max="7382" width="50" style="711" customWidth="1"/>
    <col min="7383" max="7383" width="186.33203125" style="711" customWidth="1"/>
    <col min="7384" max="7392" width="50" style="711" customWidth="1"/>
    <col min="7393" max="7393" width="186.33203125" style="711" customWidth="1"/>
    <col min="7394" max="7394" width="49.83203125" style="711" customWidth="1"/>
    <col min="7395" max="7395" width="44.83203125" style="711" customWidth="1"/>
    <col min="7396" max="7396" width="49.83203125" style="711" customWidth="1"/>
    <col min="7397" max="7397" width="50" style="711" customWidth="1"/>
    <col min="7398" max="7398" width="45" style="711" customWidth="1"/>
    <col min="7399" max="7400" width="50" style="711" customWidth="1"/>
    <col min="7401" max="7401" width="45" style="711" customWidth="1"/>
    <col min="7402" max="7402" width="50" style="711" customWidth="1"/>
    <col min="7403" max="7408" width="49.83203125" style="711" customWidth="1"/>
    <col min="7409" max="7409" width="34.1640625" style="711" customWidth="1"/>
    <col min="7410" max="7410" width="32.83203125" style="711" customWidth="1"/>
    <col min="7411" max="7411" width="40.83203125" style="711" customWidth="1"/>
    <col min="7412" max="7412" width="186.33203125" style="711" customWidth="1"/>
    <col min="7413" max="7628" width="9.33203125" style="711"/>
    <col min="7629" max="7629" width="186.33203125" style="711" customWidth="1"/>
    <col min="7630" max="7638" width="50" style="711" customWidth="1"/>
    <col min="7639" max="7639" width="186.33203125" style="711" customWidth="1"/>
    <col min="7640" max="7648" width="50" style="711" customWidth="1"/>
    <col min="7649" max="7649" width="186.33203125" style="711" customWidth="1"/>
    <col min="7650" max="7650" width="49.83203125" style="711" customWidth="1"/>
    <col min="7651" max="7651" width="44.83203125" style="711" customWidth="1"/>
    <col min="7652" max="7652" width="49.83203125" style="711" customWidth="1"/>
    <col min="7653" max="7653" width="50" style="711" customWidth="1"/>
    <col min="7654" max="7654" width="45" style="711" customWidth="1"/>
    <col min="7655" max="7656" width="50" style="711" customWidth="1"/>
    <col min="7657" max="7657" width="45" style="711" customWidth="1"/>
    <col min="7658" max="7658" width="50" style="711" customWidth="1"/>
    <col min="7659" max="7664" width="49.83203125" style="711" customWidth="1"/>
    <col min="7665" max="7665" width="34.1640625" style="711" customWidth="1"/>
    <col min="7666" max="7666" width="32.83203125" style="711" customWidth="1"/>
    <col min="7667" max="7667" width="40.83203125" style="711" customWidth="1"/>
    <col min="7668" max="7668" width="186.33203125" style="711" customWidth="1"/>
    <col min="7669" max="7884" width="9.33203125" style="711"/>
    <col min="7885" max="7885" width="186.33203125" style="711" customWidth="1"/>
    <col min="7886" max="7894" width="50" style="711" customWidth="1"/>
    <col min="7895" max="7895" width="186.33203125" style="711" customWidth="1"/>
    <col min="7896" max="7904" width="50" style="711" customWidth="1"/>
    <col min="7905" max="7905" width="186.33203125" style="711" customWidth="1"/>
    <col min="7906" max="7906" width="49.83203125" style="711" customWidth="1"/>
    <col min="7907" max="7907" width="44.83203125" style="711" customWidth="1"/>
    <col min="7908" max="7908" width="49.83203125" style="711" customWidth="1"/>
    <col min="7909" max="7909" width="50" style="711" customWidth="1"/>
    <col min="7910" max="7910" width="45" style="711" customWidth="1"/>
    <col min="7911" max="7912" width="50" style="711" customWidth="1"/>
    <col min="7913" max="7913" width="45" style="711" customWidth="1"/>
    <col min="7914" max="7914" width="50" style="711" customWidth="1"/>
    <col min="7915" max="7920" width="49.83203125" style="711" customWidth="1"/>
    <col min="7921" max="7921" width="34.1640625" style="711" customWidth="1"/>
    <col min="7922" max="7922" width="32.83203125" style="711" customWidth="1"/>
    <col min="7923" max="7923" width="40.83203125" style="711" customWidth="1"/>
    <col min="7924" max="7924" width="186.33203125" style="711" customWidth="1"/>
    <col min="7925" max="8140" width="9.33203125" style="711"/>
    <col min="8141" max="8141" width="186.33203125" style="711" customWidth="1"/>
    <col min="8142" max="8150" width="50" style="711" customWidth="1"/>
    <col min="8151" max="8151" width="186.33203125" style="711" customWidth="1"/>
    <col min="8152" max="8160" width="50" style="711" customWidth="1"/>
    <col min="8161" max="8161" width="186.33203125" style="711" customWidth="1"/>
    <col min="8162" max="8162" width="49.83203125" style="711" customWidth="1"/>
    <col min="8163" max="8163" width="44.83203125" style="711" customWidth="1"/>
    <col min="8164" max="8164" width="49.83203125" style="711" customWidth="1"/>
    <col min="8165" max="8165" width="50" style="711" customWidth="1"/>
    <col min="8166" max="8166" width="45" style="711" customWidth="1"/>
    <col min="8167" max="8168" width="50" style="711" customWidth="1"/>
    <col min="8169" max="8169" width="45" style="711" customWidth="1"/>
    <col min="8170" max="8170" width="50" style="711" customWidth="1"/>
    <col min="8171" max="8176" width="49.83203125" style="711" customWidth="1"/>
    <col min="8177" max="8177" width="34.1640625" style="711" customWidth="1"/>
    <col min="8178" max="8178" width="32.83203125" style="711" customWidth="1"/>
    <col min="8179" max="8179" width="40.83203125" style="711" customWidth="1"/>
    <col min="8180" max="8180" width="186.33203125" style="711" customWidth="1"/>
    <col min="8181" max="8396" width="9.33203125" style="711"/>
    <col min="8397" max="8397" width="186.33203125" style="711" customWidth="1"/>
    <col min="8398" max="8406" width="50" style="711" customWidth="1"/>
    <col min="8407" max="8407" width="186.33203125" style="711" customWidth="1"/>
    <col min="8408" max="8416" width="50" style="711" customWidth="1"/>
    <col min="8417" max="8417" width="186.33203125" style="711" customWidth="1"/>
    <col min="8418" max="8418" width="49.83203125" style="711" customWidth="1"/>
    <col min="8419" max="8419" width="44.83203125" style="711" customWidth="1"/>
    <col min="8420" max="8420" width="49.83203125" style="711" customWidth="1"/>
    <col min="8421" max="8421" width="50" style="711" customWidth="1"/>
    <col min="8422" max="8422" width="45" style="711" customWidth="1"/>
    <col min="8423" max="8424" width="50" style="711" customWidth="1"/>
    <col min="8425" max="8425" width="45" style="711" customWidth="1"/>
    <col min="8426" max="8426" width="50" style="711" customWidth="1"/>
    <col min="8427" max="8432" width="49.83203125" style="711" customWidth="1"/>
    <col min="8433" max="8433" width="34.1640625" style="711" customWidth="1"/>
    <col min="8434" max="8434" width="32.83203125" style="711" customWidth="1"/>
    <col min="8435" max="8435" width="40.83203125" style="711" customWidth="1"/>
    <col min="8436" max="8436" width="186.33203125" style="711" customWidth="1"/>
    <col min="8437" max="8652" width="9.33203125" style="711"/>
    <col min="8653" max="8653" width="186.33203125" style="711" customWidth="1"/>
    <col min="8654" max="8662" width="50" style="711" customWidth="1"/>
    <col min="8663" max="8663" width="186.33203125" style="711" customWidth="1"/>
    <col min="8664" max="8672" width="50" style="711" customWidth="1"/>
    <col min="8673" max="8673" width="186.33203125" style="711" customWidth="1"/>
    <col min="8674" max="8674" width="49.83203125" style="711" customWidth="1"/>
    <col min="8675" max="8675" width="44.83203125" style="711" customWidth="1"/>
    <col min="8676" max="8676" width="49.83203125" style="711" customWidth="1"/>
    <col min="8677" max="8677" width="50" style="711" customWidth="1"/>
    <col min="8678" max="8678" width="45" style="711" customWidth="1"/>
    <col min="8679" max="8680" width="50" style="711" customWidth="1"/>
    <col min="8681" max="8681" width="45" style="711" customWidth="1"/>
    <col min="8682" max="8682" width="50" style="711" customWidth="1"/>
    <col min="8683" max="8688" width="49.83203125" style="711" customWidth="1"/>
    <col min="8689" max="8689" width="34.1640625" style="711" customWidth="1"/>
    <col min="8690" max="8690" width="32.83203125" style="711" customWidth="1"/>
    <col min="8691" max="8691" width="40.83203125" style="711" customWidth="1"/>
    <col min="8692" max="8692" width="186.33203125" style="711" customWidth="1"/>
    <col min="8693" max="8908" width="9.33203125" style="711"/>
    <col min="8909" max="8909" width="186.33203125" style="711" customWidth="1"/>
    <col min="8910" max="8918" width="50" style="711" customWidth="1"/>
    <col min="8919" max="8919" width="186.33203125" style="711" customWidth="1"/>
    <col min="8920" max="8928" width="50" style="711" customWidth="1"/>
    <col min="8929" max="8929" width="186.33203125" style="711" customWidth="1"/>
    <col min="8930" max="8930" width="49.83203125" style="711" customWidth="1"/>
    <col min="8931" max="8931" width="44.83203125" style="711" customWidth="1"/>
    <col min="8932" max="8932" width="49.83203125" style="711" customWidth="1"/>
    <col min="8933" max="8933" width="50" style="711" customWidth="1"/>
    <col min="8934" max="8934" width="45" style="711" customWidth="1"/>
    <col min="8935" max="8936" width="50" style="711" customWidth="1"/>
    <col min="8937" max="8937" width="45" style="711" customWidth="1"/>
    <col min="8938" max="8938" width="50" style="711" customWidth="1"/>
    <col min="8939" max="8944" width="49.83203125" style="711" customWidth="1"/>
    <col min="8945" max="8945" width="34.1640625" style="711" customWidth="1"/>
    <col min="8946" max="8946" width="32.83203125" style="711" customWidth="1"/>
    <col min="8947" max="8947" width="40.83203125" style="711" customWidth="1"/>
    <col min="8948" max="8948" width="186.33203125" style="711" customWidth="1"/>
    <col min="8949" max="9164" width="9.33203125" style="711"/>
    <col min="9165" max="9165" width="186.33203125" style="711" customWidth="1"/>
    <col min="9166" max="9174" width="50" style="711" customWidth="1"/>
    <col min="9175" max="9175" width="186.33203125" style="711" customWidth="1"/>
    <col min="9176" max="9184" width="50" style="711" customWidth="1"/>
    <col min="9185" max="9185" width="186.33203125" style="711" customWidth="1"/>
    <col min="9186" max="9186" width="49.83203125" style="711" customWidth="1"/>
    <col min="9187" max="9187" width="44.83203125" style="711" customWidth="1"/>
    <col min="9188" max="9188" width="49.83203125" style="711" customWidth="1"/>
    <col min="9189" max="9189" width="50" style="711" customWidth="1"/>
    <col min="9190" max="9190" width="45" style="711" customWidth="1"/>
    <col min="9191" max="9192" width="50" style="711" customWidth="1"/>
    <col min="9193" max="9193" width="45" style="711" customWidth="1"/>
    <col min="9194" max="9194" width="50" style="711" customWidth="1"/>
    <col min="9195" max="9200" width="49.83203125" style="711" customWidth="1"/>
    <col min="9201" max="9201" width="34.1640625" style="711" customWidth="1"/>
    <col min="9202" max="9202" width="32.83203125" style="711" customWidth="1"/>
    <col min="9203" max="9203" width="40.83203125" style="711" customWidth="1"/>
    <col min="9204" max="9204" width="186.33203125" style="711" customWidth="1"/>
    <col min="9205" max="9420" width="9.33203125" style="711"/>
    <col min="9421" max="9421" width="186.33203125" style="711" customWidth="1"/>
    <col min="9422" max="9430" width="50" style="711" customWidth="1"/>
    <col min="9431" max="9431" width="186.33203125" style="711" customWidth="1"/>
    <col min="9432" max="9440" width="50" style="711" customWidth="1"/>
    <col min="9441" max="9441" width="186.33203125" style="711" customWidth="1"/>
    <col min="9442" max="9442" width="49.83203125" style="711" customWidth="1"/>
    <col min="9443" max="9443" width="44.83203125" style="711" customWidth="1"/>
    <col min="9444" max="9444" width="49.83203125" style="711" customWidth="1"/>
    <col min="9445" max="9445" width="50" style="711" customWidth="1"/>
    <col min="9446" max="9446" width="45" style="711" customWidth="1"/>
    <col min="9447" max="9448" width="50" style="711" customWidth="1"/>
    <col min="9449" max="9449" width="45" style="711" customWidth="1"/>
    <col min="9450" max="9450" width="50" style="711" customWidth="1"/>
    <col min="9451" max="9456" width="49.83203125" style="711" customWidth="1"/>
    <col min="9457" max="9457" width="34.1640625" style="711" customWidth="1"/>
    <col min="9458" max="9458" width="32.83203125" style="711" customWidth="1"/>
    <col min="9459" max="9459" width="40.83203125" style="711" customWidth="1"/>
    <col min="9460" max="9460" width="186.33203125" style="711" customWidth="1"/>
    <col min="9461" max="9676" width="9.33203125" style="711"/>
    <col min="9677" max="9677" width="186.33203125" style="711" customWidth="1"/>
    <col min="9678" max="9686" width="50" style="711" customWidth="1"/>
    <col min="9687" max="9687" width="186.33203125" style="711" customWidth="1"/>
    <col min="9688" max="9696" width="50" style="711" customWidth="1"/>
    <col min="9697" max="9697" width="186.33203125" style="711" customWidth="1"/>
    <col min="9698" max="9698" width="49.83203125" style="711" customWidth="1"/>
    <col min="9699" max="9699" width="44.83203125" style="711" customWidth="1"/>
    <col min="9700" max="9700" width="49.83203125" style="711" customWidth="1"/>
    <col min="9701" max="9701" width="50" style="711" customWidth="1"/>
    <col min="9702" max="9702" width="45" style="711" customWidth="1"/>
    <col min="9703" max="9704" width="50" style="711" customWidth="1"/>
    <col min="9705" max="9705" width="45" style="711" customWidth="1"/>
    <col min="9706" max="9706" width="50" style="711" customWidth="1"/>
    <col min="9707" max="9712" width="49.83203125" style="711" customWidth="1"/>
    <col min="9713" max="9713" width="34.1640625" style="711" customWidth="1"/>
    <col min="9714" max="9714" width="32.83203125" style="711" customWidth="1"/>
    <col min="9715" max="9715" width="40.83203125" style="711" customWidth="1"/>
    <col min="9716" max="9716" width="186.33203125" style="711" customWidth="1"/>
    <col min="9717" max="9932" width="9.33203125" style="711"/>
    <col min="9933" max="9933" width="186.33203125" style="711" customWidth="1"/>
    <col min="9934" max="9942" width="50" style="711" customWidth="1"/>
    <col min="9943" max="9943" width="186.33203125" style="711" customWidth="1"/>
    <col min="9944" max="9952" width="50" style="711" customWidth="1"/>
    <col min="9953" max="9953" width="186.33203125" style="711" customWidth="1"/>
    <col min="9954" max="9954" width="49.83203125" style="711" customWidth="1"/>
    <col min="9955" max="9955" width="44.83203125" style="711" customWidth="1"/>
    <col min="9956" max="9956" width="49.83203125" style="711" customWidth="1"/>
    <col min="9957" max="9957" width="50" style="711" customWidth="1"/>
    <col min="9958" max="9958" width="45" style="711" customWidth="1"/>
    <col min="9959" max="9960" width="50" style="711" customWidth="1"/>
    <col min="9961" max="9961" width="45" style="711" customWidth="1"/>
    <col min="9962" max="9962" width="50" style="711" customWidth="1"/>
    <col min="9963" max="9968" width="49.83203125" style="711" customWidth="1"/>
    <col min="9969" max="9969" width="34.1640625" style="711" customWidth="1"/>
    <col min="9970" max="9970" width="32.83203125" style="711" customWidth="1"/>
    <col min="9971" max="9971" width="40.83203125" style="711" customWidth="1"/>
    <col min="9972" max="9972" width="186.33203125" style="711" customWidth="1"/>
    <col min="9973" max="10188" width="9.33203125" style="711"/>
    <col min="10189" max="10189" width="186.33203125" style="711" customWidth="1"/>
    <col min="10190" max="10198" width="50" style="711" customWidth="1"/>
    <col min="10199" max="10199" width="186.33203125" style="711" customWidth="1"/>
    <col min="10200" max="10208" width="50" style="711" customWidth="1"/>
    <col min="10209" max="10209" width="186.33203125" style="711" customWidth="1"/>
    <col min="10210" max="10210" width="49.83203125" style="711" customWidth="1"/>
    <col min="10211" max="10211" width="44.83203125" style="711" customWidth="1"/>
    <col min="10212" max="10212" width="49.83203125" style="711" customWidth="1"/>
    <col min="10213" max="10213" width="50" style="711" customWidth="1"/>
    <col min="10214" max="10214" width="45" style="711" customWidth="1"/>
    <col min="10215" max="10216" width="50" style="711" customWidth="1"/>
    <col min="10217" max="10217" width="45" style="711" customWidth="1"/>
    <col min="10218" max="10218" width="50" style="711" customWidth="1"/>
    <col min="10219" max="10224" width="49.83203125" style="711" customWidth="1"/>
    <col min="10225" max="10225" width="34.1640625" style="711" customWidth="1"/>
    <col min="10226" max="10226" width="32.83203125" style="711" customWidth="1"/>
    <col min="10227" max="10227" width="40.83203125" style="711" customWidth="1"/>
    <col min="10228" max="10228" width="186.33203125" style="711" customWidth="1"/>
    <col min="10229" max="10444" width="9.33203125" style="711"/>
    <col min="10445" max="10445" width="186.33203125" style="711" customWidth="1"/>
    <col min="10446" max="10454" width="50" style="711" customWidth="1"/>
    <col min="10455" max="10455" width="186.33203125" style="711" customWidth="1"/>
    <col min="10456" max="10464" width="50" style="711" customWidth="1"/>
    <col min="10465" max="10465" width="186.33203125" style="711" customWidth="1"/>
    <col min="10466" max="10466" width="49.83203125" style="711" customWidth="1"/>
    <col min="10467" max="10467" width="44.83203125" style="711" customWidth="1"/>
    <col min="10468" max="10468" width="49.83203125" style="711" customWidth="1"/>
    <col min="10469" max="10469" width="50" style="711" customWidth="1"/>
    <col min="10470" max="10470" width="45" style="711" customWidth="1"/>
    <col min="10471" max="10472" width="50" style="711" customWidth="1"/>
    <col min="10473" max="10473" width="45" style="711" customWidth="1"/>
    <col min="10474" max="10474" width="50" style="711" customWidth="1"/>
    <col min="10475" max="10480" width="49.83203125" style="711" customWidth="1"/>
    <col min="10481" max="10481" width="34.1640625" style="711" customWidth="1"/>
    <col min="10482" max="10482" width="32.83203125" style="711" customWidth="1"/>
    <col min="10483" max="10483" width="40.83203125" style="711" customWidth="1"/>
    <col min="10484" max="10484" width="186.33203125" style="711" customWidth="1"/>
    <col min="10485" max="10700" width="9.33203125" style="711"/>
    <col min="10701" max="10701" width="186.33203125" style="711" customWidth="1"/>
    <col min="10702" max="10710" width="50" style="711" customWidth="1"/>
    <col min="10711" max="10711" width="186.33203125" style="711" customWidth="1"/>
    <col min="10712" max="10720" width="50" style="711" customWidth="1"/>
    <col min="10721" max="10721" width="186.33203125" style="711" customWidth="1"/>
    <col min="10722" max="10722" width="49.83203125" style="711" customWidth="1"/>
    <col min="10723" max="10723" width="44.83203125" style="711" customWidth="1"/>
    <col min="10724" max="10724" width="49.83203125" style="711" customWidth="1"/>
    <col min="10725" max="10725" width="50" style="711" customWidth="1"/>
    <col min="10726" max="10726" width="45" style="711" customWidth="1"/>
    <col min="10727" max="10728" width="50" style="711" customWidth="1"/>
    <col min="10729" max="10729" width="45" style="711" customWidth="1"/>
    <col min="10730" max="10730" width="50" style="711" customWidth="1"/>
    <col min="10731" max="10736" width="49.83203125" style="711" customWidth="1"/>
    <col min="10737" max="10737" width="34.1640625" style="711" customWidth="1"/>
    <col min="10738" max="10738" width="32.83203125" style="711" customWidth="1"/>
    <col min="10739" max="10739" width="40.83203125" style="711" customWidth="1"/>
    <col min="10740" max="10740" width="186.33203125" style="711" customWidth="1"/>
    <col min="10741" max="10956" width="9.33203125" style="711"/>
    <col min="10957" max="10957" width="186.33203125" style="711" customWidth="1"/>
    <col min="10958" max="10966" width="50" style="711" customWidth="1"/>
    <col min="10967" max="10967" width="186.33203125" style="711" customWidth="1"/>
    <col min="10968" max="10976" width="50" style="711" customWidth="1"/>
    <col min="10977" max="10977" width="186.33203125" style="711" customWidth="1"/>
    <col min="10978" max="10978" width="49.83203125" style="711" customWidth="1"/>
    <col min="10979" max="10979" width="44.83203125" style="711" customWidth="1"/>
    <col min="10980" max="10980" width="49.83203125" style="711" customWidth="1"/>
    <col min="10981" max="10981" width="50" style="711" customWidth="1"/>
    <col min="10982" max="10982" width="45" style="711" customWidth="1"/>
    <col min="10983" max="10984" width="50" style="711" customWidth="1"/>
    <col min="10985" max="10985" width="45" style="711" customWidth="1"/>
    <col min="10986" max="10986" width="50" style="711" customWidth="1"/>
    <col min="10987" max="10992" width="49.83203125" style="711" customWidth="1"/>
    <col min="10993" max="10993" width="34.1640625" style="711" customWidth="1"/>
    <col min="10994" max="10994" width="32.83203125" style="711" customWidth="1"/>
    <col min="10995" max="10995" width="40.83203125" style="711" customWidth="1"/>
    <col min="10996" max="10996" width="186.33203125" style="711" customWidth="1"/>
    <col min="10997" max="11212" width="9.33203125" style="711"/>
    <col min="11213" max="11213" width="186.33203125" style="711" customWidth="1"/>
    <col min="11214" max="11222" width="50" style="711" customWidth="1"/>
    <col min="11223" max="11223" width="186.33203125" style="711" customWidth="1"/>
    <col min="11224" max="11232" width="50" style="711" customWidth="1"/>
    <col min="11233" max="11233" width="186.33203125" style="711" customWidth="1"/>
    <col min="11234" max="11234" width="49.83203125" style="711" customWidth="1"/>
    <col min="11235" max="11235" width="44.83203125" style="711" customWidth="1"/>
    <col min="11236" max="11236" width="49.83203125" style="711" customWidth="1"/>
    <col min="11237" max="11237" width="50" style="711" customWidth="1"/>
    <col min="11238" max="11238" width="45" style="711" customWidth="1"/>
    <col min="11239" max="11240" width="50" style="711" customWidth="1"/>
    <col min="11241" max="11241" width="45" style="711" customWidth="1"/>
    <col min="11242" max="11242" width="50" style="711" customWidth="1"/>
    <col min="11243" max="11248" width="49.83203125" style="711" customWidth="1"/>
    <col min="11249" max="11249" width="34.1640625" style="711" customWidth="1"/>
    <col min="11250" max="11250" width="32.83203125" style="711" customWidth="1"/>
    <col min="11251" max="11251" width="40.83203125" style="711" customWidth="1"/>
    <col min="11252" max="11252" width="186.33203125" style="711" customWidth="1"/>
    <col min="11253" max="11468" width="9.33203125" style="711"/>
    <col min="11469" max="11469" width="186.33203125" style="711" customWidth="1"/>
    <col min="11470" max="11478" width="50" style="711" customWidth="1"/>
    <col min="11479" max="11479" width="186.33203125" style="711" customWidth="1"/>
    <col min="11480" max="11488" width="50" style="711" customWidth="1"/>
    <col min="11489" max="11489" width="186.33203125" style="711" customWidth="1"/>
    <col min="11490" max="11490" width="49.83203125" style="711" customWidth="1"/>
    <col min="11491" max="11491" width="44.83203125" style="711" customWidth="1"/>
    <col min="11492" max="11492" width="49.83203125" style="711" customWidth="1"/>
    <col min="11493" max="11493" width="50" style="711" customWidth="1"/>
    <col min="11494" max="11494" width="45" style="711" customWidth="1"/>
    <col min="11495" max="11496" width="50" style="711" customWidth="1"/>
    <col min="11497" max="11497" width="45" style="711" customWidth="1"/>
    <col min="11498" max="11498" width="50" style="711" customWidth="1"/>
    <col min="11499" max="11504" width="49.83203125" style="711" customWidth="1"/>
    <col min="11505" max="11505" width="34.1640625" style="711" customWidth="1"/>
    <col min="11506" max="11506" width="32.83203125" style="711" customWidth="1"/>
    <col min="11507" max="11507" width="40.83203125" style="711" customWidth="1"/>
    <col min="11508" max="11508" width="186.33203125" style="711" customWidth="1"/>
    <col min="11509" max="11724" width="9.33203125" style="711"/>
    <col min="11725" max="11725" width="186.33203125" style="711" customWidth="1"/>
    <col min="11726" max="11734" width="50" style="711" customWidth="1"/>
    <col min="11735" max="11735" width="186.33203125" style="711" customWidth="1"/>
    <col min="11736" max="11744" width="50" style="711" customWidth="1"/>
    <col min="11745" max="11745" width="186.33203125" style="711" customWidth="1"/>
    <col min="11746" max="11746" width="49.83203125" style="711" customWidth="1"/>
    <col min="11747" max="11747" width="44.83203125" style="711" customWidth="1"/>
    <col min="11748" max="11748" width="49.83203125" style="711" customWidth="1"/>
    <col min="11749" max="11749" width="50" style="711" customWidth="1"/>
    <col min="11750" max="11750" width="45" style="711" customWidth="1"/>
    <col min="11751" max="11752" width="50" style="711" customWidth="1"/>
    <col min="11753" max="11753" width="45" style="711" customWidth="1"/>
    <col min="11754" max="11754" width="50" style="711" customWidth="1"/>
    <col min="11755" max="11760" width="49.83203125" style="711" customWidth="1"/>
    <col min="11761" max="11761" width="34.1640625" style="711" customWidth="1"/>
    <col min="11762" max="11762" width="32.83203125" style="711" customWidth="1"/>
    <col min="11763" max="11763" width="40.83203125" style="711" customWidth="1"/>
    <col min="11764" max="11764" width="186.33203125" style="711" customWidth="1"/>
    <col min="11765" max="11980" width="9.33203125" style="711"/>
    <col min="11981" max="11981" width="186.33203125" style="711" customWidth="1"/>
    <col min="11982" max="11990" width="50" style="711" customWidth="1"/>
    <col min="11991" max="11991" width="186.33203125" style="711" customWidth="1"/>
    <col min="11992" max="12000" width="50" style="711" customWidth="1"/>
    <col min="12001" max="12001" width="186.33203125" style="711" customWidth="1"/>
    <col min="12002" max="12002" width="49.83203125" style="711" customWidth="1"/>
    <col min="12003" max="12003" width="44.83203125" style="711" customWidth="1"/>
    <col min="12004" max="12004" width="49.83203125" style="711" customWidth="1"/>
    <col min="12005" max="12005" width="50" style="711" customWidth="1"/>
    <col min="12006" max="12006" width="45" style="711" customWidth="1"/>
    <col min="12007" max="12008" width="50" style="711" customWidth="1"/>
    <col min="12009" max="12009" width="45" style="711" customWidth="1"/>
    <col min="12010" max="12010" width="50" style="711" customWidth="1"/>
    <col min="12011" max="12016" width="49.83203125" style="711" customWidth="1"/>
    <col min="12017" max="12017" width="34.1640625" style="711" customWidth="1"/>
    <col min="12018" max="12018" width="32.83203125" style="711" customWidth="1"/>
    <col min="12019" max="12019" width="40.83203125" style="711" customWidth="1"/>
    <col min="12020" max="12020" width="186.33203125" style="711" customWidth="1"/>
    <col min="12021" max="12236" width="9.33203125" style="711"/>
    <col min="12237" max="12237" width="186.33203125" style="711" customWidth="1"/>
    <col min="12238" max="12246" width="50" style="711" customWidth="1"/>
    <col min="12247" max="12247" width="186.33203125" style="711" customWidth="1"/>
    <col min="12248" max="12256" width="50" style="711" customWidth="1"/>
    <col min="12257" max="12257" width="186.33203125" style="711" customWidth="1"/>
    <col min="12258" max="12258" width="49.83203125" style="711" customWidth="1"/>
    <col min="12259" max="12259" width="44.83203125" style="711" customWidth="1"/>
    <col min="12260" max="12260" width="49.83203125" style="711" customWidth="1"/>
    <col min="12261" max="12261" width="50" style="711" customWidth="1"/>
    <col min="12262" max="12262" width="45" style="711" customWidth="1"/>
    <col min="12263" max="12264" width="50" style="711" customWidth="1"/>
    <col min="12265" max="12265" width="45" style="711" customWidth="1"/>
    <col min="12266" max="12266" width="50" style="711" customWidth="1"/>
    <col min="12267" max="12272" width="49.83203125" style="711" customWidth="1"/>
    <col min="12273" max="12273" width="34.1640625" style="711" customWidth="1"/>
    <col min="12274" max="12274" width="32.83203125" style="711" customWidth="1"/>
    <col min="12275" max="12275" width="40.83203125" style="711" customWidth="1"/>
    <col min="12276" max="12276" width="186.33203125" style="711" customWidth="1"/>
    <col min="12277" max="12492" width="9.33203125" style="711"/>
    <col min="12493" max="12493" width="186.33203125" style="711" customWidth="1"/>
    <col min="12494" max="12502" width="50" style="711" customWidth="1"/>
    <col min="12503" max="12503" width="186.33203125" style="711" customWidth="1"/>
    <col min="12504" max="12512" width="50" style="711" customWidth="1"/>
    <col min="12513" max="12513" width="186.33203125" style="711" customWidth="1"/>
    <col min="12514" max="12514" width="49.83203125" style="711" customWidth="1"/>
    <col min="12515" max="12515" width="44.83203125" style="711" customWidth="1"/>
    <col min="12516" max="12516" width="49.83203125" style="711" customWidth="1"/>
    <col min="12517" max="12517" width="50" style="711" customWidth="1"/>
    <col min="12518" max="12518" width="45" style="711" customWidth="1"/>
    <col min="12519" max="12520" width="50" style="711" customWidth="1"/>
    <col min="12521" max="12521" width="45" style="711" customWidth="1"/>
    <col min="12522" max="12522" width="50" style="711" customWidth="1"/>
    <col min="12523" max="12528" width="49.83203125" style="711" customWidth="1"/>
    <col min="12529" max="12529" width="34.1640625" style="711" customWidth="1"/>
    <col min="12530" max="12530" width="32.83203125" style="711" customWidth="1"/>
    <col min="12531" max="12531" width="40.83203125" style="711" customWidth="1"/>
    <col min="12532" max="12532" width="186.33203125" style="711" customWidth="1"/>
    <col min="12533" max="12748" width="9.33203125" style="711"/>
    <col min="12749" max="12749" width="186.33203125" style="711" customWidth="1"/>
    <col min="12750" max="12758" width="50" style="711" customWidth="1"/>
    <col min="12759" max="12759" width="186.33203125" style="711" customWidth="1"/>
    <col min="12760" max="12768" width="50" style="711" customWidth="1"/>
    <col min="12769" max="12769" width="186.33203125" style="711" customWidth="1"/>
    <col min="12770" max="12770" width="49.83203125" style="711" customWidth="1"/>
    <col min="12771" max="12771" width="44.83203125" style="711" customWidth="1"/>
    <col min="12772" max="12772" width="49.83203125" style="711" customWidth="1"/>
    <col min="12773" max="12773" width="50" style="711" customWidth="1"/>
    <col min="12774" max="12774" width="45" style="711" customWidth="1"/>
    <col min="12775" max="12776" width="50" style="711" customWidth="1"/>
    <col min="12777" max="12777" width="45" style="711" customWidth="1"/>
    <col min="12778" max="12778" width="50" style="711" customWidth="1"/>
    <col min="12779" max="12784" width="49.83203125" style="711" customWidth="1"/>
    <col min="12785" max="12785" width="34.1640625" style="711" customWidth="1"/>
    <col min="12786" max="12786" width="32.83203125" style="711" customWidth="1"/>
    <col min="12787" max="12787" width="40.83203125" style="711" customWidth="1"/>
    <col min="12788" max="12788" width="186.33203125" style="711" customWidth="1"/>
    <col min="12789" max="13004" width="9.33203125" style="711"/>
    <col min="13005" max="13005" width="186.33203125" style="711" customWidth="1"/>
    <col min="13006" max="13014" width="50" style="711" customWidth="1"/>
    <col min="13015" max="13015" width="186.33203125" style="711" customWidth="1"/>
    <col min="13016" max="13024" width="50" style="711" customWidth="1"/>
    <col min="13025" max="13025" width="186.33203125" style="711" customWidth="1"/>
    <col min="13026" max="13026" width="49.83203125" style="711" customWidth="1"/>
    <col min="13027" max="13027" width="44.83203125" style="711" customWidth="1"/>
    <col min="13028" max="13028" width="49.83203125" style="711" customWidth="1"/>
    <col min="13029" max="13029" width="50" style="711" customWidth="1"/>
    <col min="13030" max="13030" width="45" style="711" customWidth="1"/>
    <col min="13031" max="13032" width="50" style="711" customWidth="1"/>
    <col min="13033" max="13033" width="45" style="711" customWidth="1"/>
    <col min="13034" max="13034" width="50" style="711" customWidth="1"/>
    <col min="13035" max="13040" width="49.83203125" style="711" customWidth="1"/>
    <col min="13041" max="13041" width="34.1640625" style="711" customWidth="1"/>
    <col min="13042" max="13042" width="32.83203125" style="711" customWidth="1"/>
    <col min="13043" max="13043" width="40.83203125" style="711" customWidth="1"/>
    <col min="13044" max="13044" width="186.33203125" style="711" customWidth="1"/>
    <col min="13045" max="13260" width="9.33203125" style="711"/>
    <col min="13261" max="13261" width="186.33203125" style="711" customWidth="1"/>
    <col min="13262" max="13270" width="50" style="711" customWidth="1"/>
    <col min="13271" max="13271" width="186.33203125" style="711" customWidth="1"/>
    <col min="13272" max="13280" width="50" style="711" customWidth="1"/>
    <col min="13281" max="13281" width="186.33203125" style="711" customWidth="1"/>
    <col min="13282" max="13282" width="49.83203125" style="711" customWidth="1"/>
    <col min="13283" max="13283" width="44.83203125" style="711" customWidth="1"/>
    <col min="13284" max="13284" width="49.83203125" style="711" customWidth="1"/>
    <col min="13285" max="13285" width="50" style="711" customWidth="1"/>
    <col min="13286" max="13286" width="45" style="711" customWidth="1"/>
    <col min="13287" max="13288" width="50" style="711" customWidth="1"/>
    <col min="13289" max="13289" width="45" style="711" customWidth="1"/>
    <col min="13290" max="13290" width="50" style="711" customWidth="1"/>
    <col min="13291" max="13296" width="49.83203125" style="711" customWidth="1"/>
    <col min="13297" max="13297" width="34.1640625" style="711" customWidth="1"/>
    <col min="13298" max="13298" width="32.83203125" style="711" customWidth="1"/>
    <col min="13299" max="13299" width="40.83203125" style="711" customWidth="1"/>
    <col min="13300" max="13300" width="186.33203125" style="711" customWidth="1"/>
    <col min="13301" max="13516" width="9.33203125" style="711"/>
    <col min="13517" max="13517" width="186.33203125" style="711" customWidth="1"/>
    <col min="13518" max="13526" width="50" style="711" customWidth="1"/>
    <col min="13527" max="13527" width="186.33203125" style="711" customWidth="1"/>
    <col min="13528" max="13536" width="50" style="711" customWidth="1"/>
    <col min="13537" max="13537" width="186.33203125" style="711" customWidth="1"/>
    <col min="13538" max="13538" width="49.83203125" style="711" customWidth="1"/>
    <col min="13539" max="13539" width="44.83203125" style="711" customWidth="1"/>
    <col min="13540" max="13540" width="49.83203125" style="711" customWidth="1"/>
    <col min="13541" max="13541" width="50" style="711" customWidth="1"/>
    <col min="13542" max="13542" width="45" style="711" customWidth="1"/>
    <col min="13543" max="13544" width="50" style="711" customWidth="1"/>
    <col min="13545" max="13545" width="45" style="711" customWidth="1"/>
    <col min="13546" max="13546" width="50" style="711" customWidth="1"/>
    <col min="13547" max="13552" width="49.83203125" style="711" customWidth="1"/>
    <col min="13553" max="13553" width="34.1640625" style="711" customWidth="1"/>
    <col min="13554" max="13554" width="32.83203125" style="711" customWidth="1"/>
    <col min="13555" max="13555" width="40.83203125" style="711" customWidth="1"/>
    <col min="13556" max="13556" width="186.33203125" style="711" customWidth="1"/>
    <col min="13557" max="13772" width="9.33203125" style="711"/>
    <col min="13773" max="13773" width="186.33203125" style="711" customWidth="1"/>
    <col min="13774" max="13782" width="50" style="711" customWidth="1"/>
    <col min="13783" max="13783" width="186.33203125" style="711" customWidth="1"/>
    <col min="13784" max="13792" width="50" style="711" customWidth="1"/>
    <col min="13793" max="13793" width="186.33203125" style="711" customWidth="1"/>
    <col min="13794" max="13794" width="49.83203125" style="711" customWidth="1"/>
    <col min="13795" max="13795" width="44.83203125" style="711" customWidth="1"/>
    <col min="13796" max="13796" width="49.83203125" style="711" customWidth="1"/>
    <col min="13797" max="13797" width="50" style="711" customWidth="1"/>
    <col min="13798" max="13798" width="45" style="711" customWidth="1"/>
    <col min="13799" max="13800" width="50" style="711" customWidth="1"/>
    <col min="13801" max="13801" width="45" style="711" customWidth="1"/>
    <col min="13802" max="13802" width="50" style="711" customWidth="1"/>
    <col min="13803" max="13808" width="49.83203125" style="711" customWidth="1"/>
    <col min="13809" max="13809" width="34.1640625" style="711" customWidth="1"/>
    <col min="13810" max="13810" width="32.83203125" style="711" customWidth="1"/>
    <col min="13811" max="13811" width="40.83203125" style="711" customWidth="1"/>
    <col min="13812" max="13812" width="186.33203125" style="711" customWidth="1"/>
    <col min="13813" max="14028" width="9.33203125" style="711"/>
    <col min="14029" max="14029" width="186.33203125" style="711" customWidth="1"/>
    <col min="14030" max="14038" width="50" style="711" customWidth="1"/>
    <col min="14039" max="14039" width="186.33203125" style="711" customWidth="1"/>
    <col min="14040" max="14048" width="50" style="711" customWidth="1"/>
    <col min="14049" max="14049" width="186.33203125" style="711" customWidth="1"/>
    <col min="14050" max="14050" width="49.83203125" style="711" customWidth="1"/>
    <col min="14051" max="14051" width="44.83203125" style="711" customWidth="1"/>
    <col min="14052" max="14052" width="49.83203125" style="711" customWidth="1"/>
    <col min="14053" max="14053" width="50" style="711" customWidth="1"/>
    <col min="14054" max="14054" width="45" style="711" customWidth="1"/>
    <col min="14055" max="14056" width="50" style="711" customWidth="1"/>
    <col min="14057" max="14057" width="45" style="711" customWidth="1"/>
    <col min="14058" max="14058" width="50" style="711" customWidth="1"/>
    <col min="14059" max="14064" width="49.83203125" style="711" customWidth="1"/>
    <col min="14065" max="14065" width="34.1640625" style="711" customWidth="1"/>
    <col min="14066" max="14066" width="32.83203125" style="711" customWidth="1"/>
    <col min="14067" max="14067" width="40.83203125" style="711" customWidth="1"/>
    <col min="14068" max="14068" width="186.33203125" style="711" customWidth="1"/>
    <col min="14069" max="14284" width="9.33203125" style="711"/>
    <col min="14285" max="14285" width="186.33203125" style="711" customWidth="1"/>
    <col min="14286" max="14294" width="50" style="711" customWidth="1"/>
    <col min="14295" max="14295" width="186.33203125" style="711" customWidth="1"/>
    <col min="14296" max="14304" width="50" style="711" customWidth="1"/>
    <col min="14305" max="14305" width="186.33203125" style="711" customWidth="1"/>
    <col min="14306" max="14306" width="49.83203125" style="711" customWidth="1"/>
    <col min="14307" max="14307" width="44.83203125" style="711" customWidth="1"/>
    <col min="14308" max="14308" width="49.83203125" style="711" customWidth="1"/>
    <col min="14309" max="14309" width="50" style="711" customWidth="1"/>
    <col min="14310" max="14310" width="45" style="711" customWidth="1"/>
    <col min="14311" max="14312" width="50" style="711" customWidth="1"/>
    <col min="14313" max="14313" width="45" style="711" customWidth="1"/>
    <col min="14314" max="14314" width="50" style="711" customWidth="1"/>
    <col min="14315" max="14320" width="49.83203125" style="711" customWidth="1"/>
    <col min="14321" max="14321" width="34.1640625" style="711" customWidth="1"/>
    <col min="14322" max="14322" width="32.83203125" style="711" customWidth="1"/>
    <col min="14323" max="14323" width="40.83203125" style="711" customWidth="1"/>
    <col min="14324" max="14324" width="186.33203125" style="711" customWidth="1"/>
    <col min="14325" max="14540" width="9.33203125" style="711"/>
    <col min="14541" max="14541" width="186.33203125" style="711" customWidth="1"/>
    <col min="14542" max="14550" width="50" style="711" customWidth="1"/>
    <col min="14551" max="14551" width="186.33203125" style="711" customWidth="1"/>
    <col min="14552" max="14560" width="50" style="711" customWidth="1"/>
    <col min="14561" max="14561" width="186.33203125" style="711" customWidth="1"/>
    <col min="14562" max="14562" width="49.83203125" style="711" customWidth="1"/>
    <col min="14563" max="14563" width="44.83203125" style="711" customWidth="1"/>
    <col min="14564" max="14564" width="49.83203125" style="711" customWidth="1"/>
    <col min="14565" max="14565" width="50" style="711" customWidth="1"/>
    <col min="14566" max="14566" width="45" style="711" customWidth="1"/>
    <col min="14567" max="14568" width="50" style="711" customWidth="1"/>
    <col min="14569" max="14569" width="45" style="711" customWidth="1"/>
    <col min="14570" max="14570" width="50" style="711" customWidth="1"/>
    <col min="14571" max="14576" width="49.83203125" style="711" customWidth="1"/>
    <col min="14577" max="14577" width="34.1640625" style="711" customWidth="1"/>
    <col min="14578" max="14578" width="32.83203125" style="711" customWidth="1"/>
    <col min="14579" max="14579" width="40.83203125" style="711" customWidth="1"/>
    <col min="14580" max="14580" width="186.33203125" style="711" customWidth="1"/>
    <col min="14581" max="14796" width="9.33203125" style="711"/>
    <col min="14797" max="14797" width="186.33203125" style="711" customWidth="1"/>
    <col min="14798" max="14806" width="50" style="711" customWidth="1"/>
    <col min="14807" max="14807" width="186.33203125" style="711" customWidth="1"/>
    <col min="14808" max="14816" width="50" style="711" customWidth="1"/>
    <col min="14817" max="14817" width="186.33203125" style="711" customWidth="1"/>
    <col min="14818" max="14818" width="49.83203125" style="711" customWidth="1"/>
    <col min="14819" max="14819" width="44.83203125" style="711" customWidth="1"/>
    <col min="14820" max="14820" width="49.83203125" style="711" customWidth="1"/>
    <col min="14821" max="14821" width="50" style="711" customWidth="1"/>
    <col min="14822" max="14822" width="45" style="711" customWidth="1"/>
    <col min="14823" max="14824" width="50" style="711" customWidth="1"/>
    <col min="14825" max="14825" width="45" style="711" customWidth="1"/>
    <col min="14826" max="14826" width="50" style="711" customWidth="1"/>
    <col min="14827" max="14832" width="49.83203125" style="711" customWidth="1"/>
    <col min="14833" max="14833" width="34.1640625" style="711" customWidth="1"/>
    <col min="14834" max="14834" width="32.83203125" style="711" customWidth="1"/>
    <col min="14835" max="14835" width="40.83203125" style="711" customWidth="1"/>
    <col min="14836" max="14836" width="186.33203125" style="711" customWidth="1"/>
    <col min="14837" max="15052" width="9.33203125" style="711"/>
    <col min="15053" max="15053" width="186.33203125" style="711" customWidth="1"/>
    <col min="15054" max="15062" width="50" style="711" customWidth="1"/>
    <col min="15063" max="15063" width="186.33203125" style="711" customWidth="1"/>
    <col min="15064" max="15072" width="50" style="711" customWidth="1"/>
    <col min="15073" max="15073" width="186.33203125" style="711" customWidth="1"/>
    <col min="15074" max="15074" width="49.83203125" style="711" customWidth="1"/>
    <col min="15075" max="15075" width="44.83203125" style="711" customWidth="1"/>
    <col min="15076" max="15076" width="49.83203125" style="711" customWidth="1"/>
    <col min="15077" max="15077" width="50" style="711" customWidth="1"/>
    <col min="15078" max="15078" width="45" style="711" customWidth="1"/>
    <col min="15079" max="15080" width="50" style="711" customWidth="1"/>
    <col min="15081" max="15081" width="45" style="711" customWidth="1"/>
    <col min="15082" max="15082" width="50" style="711" customWidth="1"/>
    <col min="15083" max="15088" width="49.83203125" style="711" customWidth="1"/>
    <col min="15089" max="15089" width="34.1640625" style="711" customWidth="1"/>
    <col min="15090" max="15090" width="32.83203125" style="711" customWidth="1"/>
    <col min="15091" max="15091" width="40.83203125" style="711" customWidth="1"/>
    <col min="15092" max="15092" width="186.33203125" style="711" customWidth="1"/>
    <col min="15093" max="15308" width="9.33203125" style="711"/>
    <col min="15309" max="15309" width="186.33203125" style="711" customWidth="1"/>
    <col min="15310" max="15318" width="50" style="711" customWidth="1"/>
    <col min="15319" max="15319" width="186.33203125" style="711" customWidth="1"/>
    <col min="15320" max="15328" width="50" style="711" customWidth="1"/>
    <col min="15329" max="15329" width="186.33203125" style="711" customWidth="1"/>
    <col min="15330" max="15330" width="49.83203125" style="711" customWidth="1"/>
    <col min="15331" max="15331" width="44.83203125" style="711" customWidth="1"/>
    <col min="15332" max="15332" width="49.83203125" style="711" customWidth="1"/>
    <col min="15333" max="15333" width="50" style="711" customWidth="1"/>
    <col min="15334" max="15334" width="45" style="711" customWidth="1"/>
    <col min="15335" max="15336" width="50" style="711" customWidth="1"/>
    <col min="15337" max="15337" width="45" style="711" customWidth="1"/>
    <col min="15338" max="15338" width="50" style="711" customWidth="1"/>
    <col min="15339" max="15344" width="49.83203125" style="711" customWidth="1"/>
    <col min="15345" max="15345" width="34.1640625" style="711" customWidth="1"/>
    <col min="15346" max="15346" width="32.83203125" style="711" customWidth="1"/>
    <col min="15347" max="15347" width="40.83203125" style="711" customWidth="1"/>
    <col min="15348" max="15348" width="186.33203125" style="711" customWidth="1"/>
    <col min="15349" max="15564" width="9.33203125" style="711"/>
    <col min="15565" max="15565" width="186.33203125" style="711" customWidth="1"/>
    <col min="15566" max="15574" width="50" style="711" customWidth="1"/>
    <col min="15575" max="15575" width="186.33203125" style="711" customWidth="1"/>
    <col min="15576" max="15584" width="50" style="711" customWidth="1"/>
    <col min="15585" max="15585" width="186.33203125" style="711" customWidth="1"/>
    <col min="15586" max="15586" width="49.83203125" style="711" customWidth="1"/>
    <col min="15587" max="15587" width="44.83203125" style="711" customWidth="1"/>
    <col min="15588" max="15588" width="49.83203125" style="711" customWidth="1"/>
    <col min="15589" max="15589" width="50" style="711" customWidth="1"/>
    <col min="15590" max="15590" width="45" style="711" customWidth="1"/>
    <col min="15591" max="15592" width="50" style="711" customWidth="1"/>
    <col min="15593" max="15593" width="45" style="711" customWidth="1"/>
    <col min="15594" max="15594" width="50" style="711" customWidth="1"/>
    <col min="15595" max="15600" width="49.83203125" style="711" customWidth="1"/>
    <col min="15601" max="15601" width="34.1640625" style="711" customWidth="1"/>
    <col min="15602" max="15602" width="32.83203125" style="711" customWidth="1"/>
    <col min="15603" max="15603" width="40.83203125" style="711" customWidth="1"/>
    <col min="15604" max="15604" width="186.33203125" style="711" customWidth="1"/>
    <col min="15605" max="15820" width="9.33203125" style="711"/>
    <col min="15821" max="15821" width="186.33203125" style="711" customWidth="1"/>
    <col min="15822" max="15830" width="50" style="711" customWidth="1"/>
    <col min="15831" max="15831" width="186.33203125" style="711" customWidth="1"/>
    <col min="15832" max="15840" width="50" style="711" customWidth="1"/>
    <col min="15841" max="15841" width="186.33203125" style="711" customWidth="1"/>
    <col min="15842" max="15842" width="49.83203125" style="711" customWidth="1"/>
    <col min="15843" max="15843" width="44.83203125" style="711" customWidth="1"/>
    <col min="15844" max="15844" width="49.83203125" style="711" customWidth="1"/>
    <col min="15845" max="15845" width="50" style="711" customWidth="1"/>
    <col min="15846" max="15846" width="45" style="711" customWidth="1"/>
    <col min="15847" max="15848" width="50" style="711" customWidth="1"/>
    <col min="15849" max="15849" width="45" style="711" customWidth="1"/>
    <col min="15850" max="15850" width="50" style="711" customWidth="1"/>
    <col min="15851" max="15856" width="49.83203125" style="711" customWidth="1"/>
    <col min="15857" max="15857" width="34.1640625" style="711" customWidth="1"/>
    <col min="15858" max="15858" width="32.83203125" style="711" customWidth="1"/>
    <col min="15859" max="15859" width="40.83203125" style="711" customWidth="1"/>
    <col min="15860" max="15860" width="186.33203125" style="711" customWidth="1"/>
    <col min="15861" max="16076" width="9.33203125" style="711"/>
    <col min="16077" max="16077" width="186.33203125" style="711" customWidth="1"/>
    <col min="16078" max="16086" width="50" style="711" customWidth="1"/>
    <col min="16087" max="16087" width="186.33203125" style="711" customWidth="1"/>
    <col min="16088" max="16096" width="50" style="711" customWidth="1"/>
    <col min="16097" max="16097" width="186.33203125" style="711" customWidth="1"/>
    <col min="16098" max="16098" width="49.83203125" style="711" customWidth="1"/>
    <col min="16099" max="16099" width="44.83203125" style="711" customWidth="1"/>
    <col min="16100" max="16100" width="49.83203125" style="711" customWidth="1"/>
    <col min="16101" max="16101" width="50" style="711" customWidth="1"/>
    <col min="16102" max="16102" width="45" style="711" customWidth="1"/>
    <col min="16103" max="16104" width="50" style="711" customWidth="1"/>
    <col min="16105" max="16105" width="45" style="711" customWidth="1"/>
    <col min="16106" max="16106" width="50" style="711" customWidth="1"/>
    <col min="16107" max="16112" width="49.83203125" style="711" customWidth="1"/>
    <col min="16113" max="16113" width="34.1640625" style="711" customWidth="1"/>
    <col min="16114" max="16114" width="32.83203125" style="711" customWidth="1"/>
    <col min="16115" max="16115" width="40.83203125" style="711" customWidth="1"/>
    <col min="16116" max="16116" width="186.33203125" style="711" customWidth="1"/>
    <col min="16117" max="16384" width="9.33203125" style="711"/>
  </cols>
  <sheetData>
    <row r="1" spans="1:36" ht="38.25" customHeight="1" x14ac:dyDescent="0.7">
      <c r="A1" s="643"/>
      <c r="B1" s="710"/>
      <c r="C1" s="710"/>
      <c r="D1" s="710"/>
      <c r="E1" s="710"/>
      <c r="F1" s="710"/>
      <c r="G1" s="710"/>
      <c r="H1" s="710"/>
      <c r="I1" s="710"/>
      <c r="J1" s="710"/>
      <c r="K1" s="643"/>
      <c r="L1" s="710"/>
      <c r="M1" s="710"/>
      <c r="N1" s="710"/>
      <c r="O1" s="710"/>
      <c r="P1" s="710"/>
      <c r="Q1" s="710"/>
      <c r="R1" s="710"/>
      <c r="S1" s="710"/>
      <c r="T1" s="710"/>
      <c r="U1" s="643"/>
      <c r="V1" s="643"/>
      <c r="W1" s="643"/>
      <c r="X1" s="643"/>
      <c r="Y1" s="643"/>
      <c r="Z1" s="643"/>
      <c r="AA1" s="643"/>
      <c r="AB1" s="643"/>
      <c r="AC1" s="643"/>
      <c r="AD1" s="643"/>
      <c r="AE1" s="643"/>
      <c r="AF1" s="643"/>
      <c r="AG1" s="643"/>
      <c r="AH1" s="643"/>
      <c r="AI1" s="643"/>
      <c r="AJ1" s="643"/>
    </row>
    <row r="2" spans="1:36" ht="54" customHeight="1" x14ac:dyDescent="0.7">
      <c r="A2" s="643"/>
      <c r="B2" s="904" t="s">
        <v>214</v>
      </c>
      <c r="C2" s="904"/>
      <c r="D2" s="904"/>
      <c r="E2" s="904"/>
      <c r="F2" s="904"/>
      <c r="G2" s="904"/>
      <c r="H2" s="904"/>
      <c r="I2" s="904"/>
      <c r="J2" s="904"/>
      <c r="K2" s="643"/>
      <c r="L2" s="904" t="s">
        <v>214</v>
      </c>
      <c r="M2" s="904"/>
      <c r="N2" s="904"/>
      <c r="O2" s="904"/>
      <c r="P2" s="904"/>
      <c r="Q2" s="904"/>
      <c r="R2" s="904"/>
      <c r="S2" s="904"/>
      <c r="T2" s="904"/>
      <c r="U2" s="643"/>
      <c r="V2" s="904" t="s">
        <v>214</v>
      </c>
      <c r="W2" s="904"/>
      <c r="X2" s="904"/>
      <c r="Y2" s="904"/>
      <c r="Z2" s="904"/>
      <c r="AA2" s="904"/>
      <c r="AB2" s="904"/>
      <c r="AC2" s="904"/>
      <c r="AD2" s="904"/>
      <c r="AE2" s="904"/>
      <c r="AF2" s="904"/>
      <c r="AG2" s="904"/>
      <c r="AH2" s="904"/>
      <c r="AI2" s="904"/>
      <c r="AJ2" s="904"/>
    </row>
    <row r="3" spans="1:36" ht="54" customHeight="1" x14ac:dyDescent="0.7">
      <c r="A3" s="643"/>
      <c r="B3" s="904" t="s">
        <v>642</v>
      </c>
      <c r="C3" s="904"/>
      <c r="D3" s="904"/>
      <c r="E3" s="904"/>
      <c r="F3" s="904"/>
      <c r="G3" s="904"/>
      <c r="H3" s="904"/>
      <c r="I3" s="904"/>
      <c r="J3" s="904"/>
      <c r="K3" s="643"/>
      <c r="L3" s="904" t="s">
        <v>642</v>
      </c>
      <c r="M3" s="904"/>
      <c r="N3" s="904"/>
      <c r="O3" s="904"/>
      <c r="P3" s="904"/>
      <c r="Q3" s="904"/>
      <c r="R3" s="904"/>
      <c r="S3" s="904"/>
      <c r="T3" s="904"/>
      <c r="U3" s="643"/>
      <c r="V3" s="904" t="s">
        <v>642</v>
      </c>
      <c r="W3" s="904"/>
      <c r="X3" s="904"/>
      <c r="Y3" s="904"/>
      <c r="Z3" s="904"/>
      <c r="AA3" s="904"/>
      <c r="AB3" s="904"/>
      <c r="AC3" s="904"/>
      <c r="AD3" s="904"/>
      <c r="AE3" s="904"/>
      <c r="AF3" s="904"/>
      <c r="AG3" s="904"/>
      <c r="AH3" s="904"/>
      <c r="AI3" s="904"/>
      <c r="AJ3" s="904"/>
    </row>
    <row r="4" spans="1:36" ht="62.25" customHeight="1" thickBot="1" x14ac:dyDescent="0.75">
      <c r="A4" s="643"/>
      <c r="B4" s="710"/>
      <c r="C4" s="710"/>
      <c r="D4" s="710"/>
      <c r="E4" s="710"/>
      <c r="F4" s="710"/>
      <c r="G4" s="710"/>
      <c r="H4" s="710"/>
      <c r="I4" s="710"/>
      <c r="J4" s="644" t="s">
        <v>206</v>
      </c>
      <c r="K4" s="643"/>
      <c r="L4" s="710"/>
      <c r="M4" s="710"/>
      <c r="N4" s="710"/>
      <c r="O4" s="710"/>
      <c r="P4" s="710"/>
      <c r="Q4" s="710"/>
      <c r="R4" s="710"/>
      <c r="S4" s="710"/>
      <c r="T4" s="644" t="s">
        <v>206</v>
      </c>
      <c r="U4" s="643"/>
      <c r="V4" s="643"/>
      <c r="W4" s="643"/>
      <c r="X4" s="643"/>
      <c r="Y4" s="643"/>
      <c r="Z4" s="643"/>
      <c r="AA4" s="643"/>
      <c r="AB4" s="643"/>
      <c r="AC4" s="643"/>
      <c r="AD4" s="643"/>
      <c r="AE4" s="643"/>
      <c r="AF4" s="643"/>
      <c r="AG4" s="643"/>
      <c r="AH4" s="643"/>
      <c r="AI4" s="643"/>
      <c r="AJ4" s="644" t="s">
        <v>206</v>
      </c>
    </row>
    <row r="5" spans="1:36" s="712" customFormat="1" ht="55.5" customHeight="1" x14ac:dyDescent="0.6">
      <c r="A5" s="925" t="s">
        <v>643</v>
      </c>
      <c r="B5" s="916" t="s">
        <v>248</v>
      </c>
      <c r="C5" s="917"/>
      <c r="D5" s="918"/>
      <c r="E5" s="916" t="s">
        <v>249</v>
      </c>
      <c r="F5" s="917"/>
      <c r="G5" s="918"/>
      <c r="H5" s="916" t="s">
        <v>250</v>
      </c>
      <c r="I5" s="917"/>
      <c r="J5" s="918"/>
      <c r="K5" s="925" t="s">
        <v>643</v>
      </c>
      <c r="L5" s="916" t="s">
        <v>251</v>
      </c>
      <c r="M5" s="917"/>
      <c r="N5" s="918"/>
      <c r="O5" s="916" t="s">
        <v>323</v>
      </c>
      <c r="P5" s="917"/>
      <c r="Q5" s="918"/>
      <c r="R5" s="916" t="s">
        <v>231</v>
      </c>
      <c r="S5" s="917"/>
      <c r="T5" s="918"/>
      <c r="U5" s="925" t="s">
        <v>643</v>
      </c>
      <c r="V5" s="927" t="s">
        <v>644</v>
      </c>
      <c r="W5" s="928"/>
      <c r="X5" s="929"/>
      <c r="Y5" s="927" t="s">
        <v>645</v>
      </c>
      <c r="Z5" s="928"/>
      <c r="AA5" s="929"/>
      <c r="AB5" s="927" t="s">
        <v>254</v>
      </c>
      <c r="AC5" s="928"/>
      <c r="AD5" s="929"/>
      <c r="AE5" s="927" t="s">
        <v>232</v>
      </c>
      <c r="AF5" s="928"/>
      <c r="AG5" s="929"/>
      <c r="AH5" s="927" t="s">
        <v>646</v>
      </c>
      <c r="AI5" s="928"/>
      <c r="AJ5" s="929"/>
    </row>
    <row r="6" spans="1:36" s="712" customFormat="1" ht="54" customHeight="1" x14ac:dyDescent="0.6">
      <c r="A6" s="926"/>
      <c r="B6" s="919"/>
      <c r="C6" s="920"/>
      <c r="D6" s="921"/>
      <c r="E6" s="919"/>
      <c r="F6" s="920"/>
      <c r="G6" s="921"/>
      <c r="H6" s="919"/>
      <c r="I6" s="920"/>
      <c r="J6" s="921"/>
      <c r="K6" s="926"/>
      <c r="L6" s="919"/>
      <c r="M6" s="920"/>
      <c r="N6" s="921"/>
      <c r="O6" s="919"/>
      <c r="P6" s="920"/>
      <c r="Q6" s="921"/>
      <c r="R6" s="919"/>
      <c r="S6" s="920"/>
      <c r="T6" s="921"/>
      <c r="U6" s="926"/>
      <c r="V6" s="930"/>
      <c r="W6" s="931"/>
      <c r="X6" s="932"/>
      <c r="Y6" s="930"/>
      <c r="Z6" s="931"/>
      <c r="AA6" s="932"/>
      <c r="AB6" s="930"/>
      <c r="AC6" s="931"/>
      <c r="AD6" s="932"/>
      <c r="AE6" s="930"/>
      <c r="AF6" s="931"/>
      <c r="AG6" s="932"/>
      <c r="AH6" s="930"/>
      <c r="AI6" s="931"/>
      <c r="AJ6" s="932"/>
    </row>
    <row r="7" spans="1:36" s="714" customFormat="1" ht="94.5" customHeight="1" thickBot="1" x14ac:dyDescent="0.65">
      <c r="A7" s="679" t="s">
        <v>602</v>
      </c>
      <c r="B7" s="922"/>
      <c r="C7" s="923"/>
      <c r="D7" s="924"/>
      <c r="E7" s="922"/>
      <c r="F7" s="923"/>
      <c r="G7" s="924"/>
      <c r="H7" s="922"/>
      <c r="I7" s="923"/>
      <c r="J7" s="924"/>
      <c r="K7" s="679" t="s">
        <v>602</v>
      </c>
      <c r="L7" s="922"/>
      <c r="M7" s="923"/>
      <c r="N7" s="924"/>
      <c r="O7" s="922"/>
      <c r="P7" s="923"/>
      <c r="Q7" s="924"/>
      <c r="R7" s="922"/>
      <c r="S7" s="923"/>
      <c r="T7" s="924"/>
      <c r="U7" s="679" t="s">
        <v>602</v>
      </c>
      <c r="V7" s="933"/>
      <c r="W7" s="934"/>
      <c r="X7" s="935"/>
      <c r="Y7" s="933"/>
      <c r="Z7" s="934"/>
      <c r="AA7" s="935"/>
      <c r="AB7" s="933"/>
      <c r="AC7" s="934"/>
      <c r="AD7" s="935"/>
      <c r="AE7" s="933"/>
      <c r="AF7" s="934"/>
      <c r="AG7" s="935"/>
      <c r="AH7" s="933"/>
      <c r="AI7" s="934"/>
      <c r="AJ7" s="935"/>
    </row>
    <row r="8" spans="1:36" s="714" customFormat="1" ht="148.5" customHeight="1" thickBot="1" x14ac:dyDescent="0.65">
      <c r="A8" s="715"/>
      <c r="B8" s="659" t="s">
        <v>603</v>
      </c>
      <c r="C8" s="659" t="s">
        <v>604</v>
      </c>
      <c r="D8" s="659" t="s">
        <v>605</v>
      </c>
      <c r="E8" s="659" t="s">
        <v>603</v>
      </c>
      <c r="F8" s="659" t="s">
        <v>604</v>
      </c>
      <c r="G8" s="659" t="s">
        <v>605</v>
      </c>
      <c r="H8" s="659" t="s">
        <v>603</v>
      </c>
      <c r="I8" s="659" t="s">
        <v>604</v>
      </c>
      <c r="J8" s="659" t="s">
        <v>605</v>
      </c>
      <c r="K8" s="715"/>
      <c r="L8" s="659" t="s">
        <v>603</v>
      </c>
      <c r="M8" s="659" t="s">
        <v>604</v>
      </c>
      <c r="N8" s="659" t="s">
        <v>605</v>
      </c>
      <c r="O8" s="659" t="s">
        <v>603</v>
      </c>
      <c r="P8" s="659" t="s">
        <v>604</v>
      </c>
      <c r="Q8" s="659" t="s">
        <v>605</v>
      </c>
      <c r="R8" s="659" t="s">
        <v>603</v>
      </c>
      <c r="S8" s="659" t="s">
        <v>604</v>
      </c>
      <c r="T8" s="659" t="s">
        <v>605</v>
      </c>
      <c r="U8" s="715"/>
      <c r="V8" s="659" t="s">
        <v>603</v>
      </c>
      <c r="W8" s="659" t="s">
        <v>604</v>
      </c>
      <c r="X8" s="659" t="s">
        <v>605</v>
      </c>
      <c r="Y8" s="659" t="s">
        <v>603</v>
      </c>
      <c r="Z8" s="659" t="s">
        <v>604</v>
      </c>
      <c r="AA8" s="659" t="s">
        <v>605</v>
      </c>
      <c r="AB8" s="659" t="s">
        <v>603</v>
      </c>
      <c r="AC8" s="659" t="s">
        <v>604</v>
      </c>
      <c r="AD8" s="659" t="s">
        <v>605</v>
      </c>
      <c r="AE8" s="659" t="s">
        <v>603</v>
      </c>
      <c r="AF8" s="659" t="s">
        <v>604</v>
      </c>
      <c r="AG8" s="659" t="s">
        <v>605</v>
      </c>
      <c r="AH8" s="659" t="s">
        <v>603</v>
      </c>
      <c r="AI8" s="659" t="s">
        <v>604</v>
      </c>
      <c r="AJ8" s="659" t="s">
        <v>605</v>
      </c>
    </row>
    <row r="9" spans="1:36" s="716" customFormat="1" ht="45.75" customHeight="1" x14ac:dyDescent="0.7">
      <c r="A9" s="661" t="s">
        <v>606</v>
      </c>
      <c r="B9" s="662"/>
      <c r="C9" s="662"/>
      <c r="D9" s="662"/>
      <c r="E9" s="662"/>
      <c r="F9" s="662"/>
      <c r="G9" s="662"/>
      <c r="H9" s="662"/>
      <c r="I9" s="662"/>
      <c r="J9" s="662"/>
      <c r="K9" s="661" t="s">
        <v>606</v>
      </c>
      <c r="L9" s="662"/>
      <c r="M9" s="662"/>
      <c r="N9" s="662"/>
      <c r="O9" s="662"/>
      <c r="P9" s="662"/>
      <c r="Q9" s="662"/>
      <c r="R9" s="662"/>
      <c r="S9" s="662"/>
      <c r="T9" s="662"/>
      <c r="U9" s="661" t="s">
        <v>606</v>
      </c>
      <c r="V9" s="661"/>
      <c r="W9" s="661"/>
      <c r="X9" s="661"/>
      <c r="Y9" s="661"/>
      <c r="Z9" s="661"/>
      <c r="AA9" s="661"/>
      <c r="AB9" s="662"/>
      <c r="AC9" s="662"/>
      <c r="AD9" s="662"/>
      <c r="AE9" s="661"/>
      <c r="AF9" s="661"/>
      <c r="AG9" s="661"/>
      <c r="AH9" s="661"/>
      <c r="AI9" s="661"/>
      <c r="AJ9" s="661"/>
    </row>
    <row r="10" spans="1:36" s="716" customFormat="1" ht="48.75" customHeight="1" x14ac:dyDescent="0.7">
      <c r="A10" s="664" t="s">
        <v>607</v>
      </c>
      <c r="B10" s="665">
        <f>'[3]int.kiadások RM I'!D10</f>
        <v>234624</v>
      </c>
      <c r="C10" s="717">
        <f>'[3]int.kiadások RM II maradvány'!C10</f>
        <v>4529</v>
      </c>
      <c r="D10" s="665">
        <f>SUM(B10:C10)</f>
        <v>239153</v>
      </c>
      <c r="E10" s="665">
        <f>'[3]int.kiadások RM I'!G10</f>
        <v>34776</v>
      </c>
      <c r="F10" s="665">
        <f>'[3]int.kiadások RM II maradvány'!F10</f>
        <v>570</v>
      </c>
      <c r="G10" s="665">
        <f t="shared" ref="G10:G27" si="0">SUM(E10:F10)</f>
        <v>35346</v>
      </c>
      <c r="H10" s="665">
        <f>'[3]int.kiadások RM I'!J10</f>
        <v>6598</v>
      </c>
      <c r="I10" s="665">
        <f>'[3]int.kiadások RM II maradvány'!I10+452</f>
        <v>1168</v>
      </c>
      <c r="J10" s="665">
        <f>SUM(H10:I10)</f>
        <v>7766</v>
      </c>
      <c r="K10" s="664" t="s">
        <v>607</v>
      </c>
      <c r="L10" s="665">
        <f>'[3]int.kiadások RM I'!N10</f>
        <v>0</v>
      </c>
      <c r="M10" s="665"/>
      <c r="N10" s="665">
        <f>SUM(L10:M10)</f>
        <v>0</v>
      </c>
      <c r="O10" s="665">
        <f>'[3]int.kiadások RM I'!Q10</f>
        <v>0</v>
      </c>
      <c r="P10" s="665"/>
      <c r="Q10" s="665">
        <f>SUM(O10:P10)</f>
        <v>0</v>
      </c>
      <c r="R10" s="666">
        <f>B10+E10+H10+L10+O10</f>
        <v>275998</v>
      </c>
      <c r="S10" s="666">
        <f>C10+F10+I10+M10+P10</f>
        <v>6267</v>
      </c>
      <c r="T10" s="666">
        <f>D10+G10+J10+N10+Q10</f>
        <v>282265</v>
      </c>
      <c r="U10" s="664" t="s">
        <v>607</v>
      </c>
      <c r="V10" s="665">
        <f>'[3]int.kiadások RM I'!X10</f>
        <v>0</v>
      </c>
      <c r="W10" s="665">
        <f>'[3]int.kiadások RM II maradvány'!W10</f>
        <v>0</v>
      </c>
      <c r="X10" s="665">
        <f>SUM(V10:W10)</f>
        <v>0</v>
      </c>
      <c r="Y10" s="665">
        <f>'[3]int.kiadások RM I'!AA10</f>
        <v>0</v>
      </c>
      <c r="Z10" s="665">
        <f>'[3]int.kiadások RM II maradvány'!Z10</f>
        <v>0</v>
      </c>
      <c r="AA10" s="665">
        <f>SUM(Y10:Z10)</f>
        <v>0</v>
      </c>
      <c r="AB10" s="665">
        <f>'[3]int.kiadások RM I'!AD10</f>
        <v>0</v>
      </c>
      <c r="AC10" s="665"/>
      <c r="AD10" s="665">
        <f>SUM(AB10:AC10)</f>
        <v>0</v>
      </c>
      <c r="AE10" s="666">
        <f>V10+Y10+AB10</f>
        <v>0</v>
      </c>
      <c r="AF10" s="666">
        <f>W10+Z10+AC10</f>
        <v>0</v>
      </c>
      <c r="AG10" s="666">
        <f>X10+AA10+AD10</f>
        <v>0</v>
      </c>
      <c r="AH10" s="666">
        <f t="shared" ref="AH10:AJ29" si="1">R10+AE10</f>
        <v>275998</v>
      </c>
      <c r="AI10" s="666">
        <f t="shared" si="1"/>
        <v>6267</v>
      </c>
      <c r="AJ10" s="666">
        <f t="shared" si="1"/>
        <v>282265</v>
      </c>
    </row>
    <row r="11" spans="1:36" s="716" customFormat="1" ht="48.75" customHeight="1" x14ac:dyDescent="0.7">
      <c r="A11" s="667" t="s">
        <v>608</v>
      </c>
      <c r="B11" s="665">
        <f>'[3]int.kiadások RM I'!D11</f>
        <v>164413</v>
      </c>
      <c r="C11" s="665">
        <f>'[3]int.kiadások RM II maradvány'!C11</f>
        <v>3894</v>
      </c>
      <c r="D11" s="665">
        <f t="shared" ref="D11:D36" si="2">SUM(B11:C11)</f>
        <v>168307</v>
      </c>
      <c r="E11" s="665">
        <f>'[3]int.kiadások RM I'!G11</f>
        <v>21263</v>
      </c>
      <c r="F11" s="665">
        <f>'[3]int.kiadások RM II maradvány'!F11</f>
        <v>490</v>
      </c>
      <c r="G11" s="665">
        <f t="shared" si="0"/>
        <v>21753</v>
      </c>
      <c r="H11" s="665">
        <f>'[3]int.kiadások RM I'!J11</f>
        <v>3058</v>
      </c>
      <c r="I11" s="665">
        <f>'[3]int.kiadások RM II maradvány'!I11</f>
        <v>618</v>
      </c>
      <c r="J11" s="665">
        <f t="shared" ref="J11:J27" si="3">SUM(H11:I11)</f>
        <v>3676</v>
      </c>
      <c r="K11" s="667" t="s">
        <v>608</v>
      </c>
      <c r="L11" s="665">
        <f>'[3]int.kiadások RM I'!N11</f>
        <v>0</v>
      </c>
      <c r="M11" s="665"/>
      <c r="N11" s="665">
        <f t="shared" ref="N11:N27" si="4">SUM(L11:M11)</f>
        <v>0</v>
      </c>
      <c r="O11" s="665">
        <f>'[3]int.kiadások RM I'!Q11</f>
        <v>0</v>
      </c>
      <c r="P11" s="665"/>
      <c r="Q11" s="665">
        <f t="shared" ref="Q11:Q27" si="5">SUM(O11:P11)</f>
        <v>0</v>
      </c>
      <c r="R11" s="666">
        <f t="shared" ref="R11:T27" si="6">B11+E11+H11+L11+O11</f>
        <v>188734</v>
      </c>
      <c r="S11" s="666">
        <f t="shared" si="6"/>
        <v>5002</v>
      </c>
      <c r="T11" s="666">
        <f t="shared" si="6"/>
        <v>193736</v>
      </c>
      <c r="U11" s="667" t="s">
        <v>608</v>
      </c>
      <c r="V11" s="665">
        <f>'[3]int.kiadások RM I'!X11</f>
        <v>0</v>
      </c>
      <c r="W11" s="665">
        <f>'[3]int.kiadások RM II maradvány'!W11</f>
        <v>0</v>
      </c>
      <c r="X11" s="665">
        <f t="shared" ref="X11:X29" si="7">SUM(V11:W11)</f>
        <v>0</v>
      </c>
      <c r="Y11" s="665">
        <f>'[3]int.kiadások RM I'!AA11</f>
        <v>0</v>
      </c>
      <c r="Z11" s="665">
        <f>'[3]int.kiadások RM II maradvány'!Z11</f>
        <v>0</v>
      </c>
      <c r="AA11" s="665">
        <f t="shared" ref="AA11:AA27" si="8">SUM(Y11:Z11)</f>
        <v>0</v>
      </c>
      <c r="AB11" s="665">
        <f>'[3]int.kiadások RM I'!AD11</f>
        <v>0</v>
      </c>
      <c r="AC11" s="665"/>
      <c r="AD11" s="665">
        <f t="shared" ref="AD11:AD27" si="9">SUM(AB11:AC11)</f>
        <v>0</v>
      </c>
      <c r="AE11" s="666">
        <f t="shared" ref="AE11:AG27" si="10">V11+Y11+AB11</f>
        <v>0</v>
      </c>
      <c r="AF11" s="666">
        <f t="shared" si="10"/>
        <v>0</v>
      </c>
      <c r="AG11" s="666">
        <f t="shared" si="10"/>
        <v>0</v>
      </c>
      <c r="AH11" s="666">
        <f t="shared" si="1"/>
        <v>188734</v>
      </c>
      <c r="AI11" s="666">
        <f t="shared" si="1"/>
        <v>5002</v>
      </c>
      <c r="AJ11" s="666">
        <f t="shared" si="1"/>
        <v>193736</v>
      </c>
    </row>
    <row r="12" spans="1:36" s="716" customFormat="1" ht="48.75" customHeight="1" x14ac:dyDescent="0.7">
      <c r="A12" s="667" t="s">
        <v>609</v>
      </c>
      <c r="B12" s="665">
        <f>'[3]int.kiadások RM I'!D12</f>
        <v>173152</v>
      </c>
      <c r="C12" s="665">
        <f>'[3]int.kiadások RM II maradvány'!C12</f>
        <v>5996</v>
      </c>
      <c r="D12" s="665">
        <f t="shared" si="2"/>
        <v>179148</v>
      </c>
      <c r="E12" s="665">
        <f>'[3]int.kiadások RM I'!G12</f>
        <v>22668</v>
      </c>
      <c r="F12" s="665">
        <f>'[3]int.kiadások RM II maradvány'!F12</f>
        <v>770</v>
      </c>
      <c r="G12" s="665">
        <f t="shared" si="0"/>
        <v>23438</v>
      </c>
      <c r="H12" s="665">
        <f>'[3]int.kiadások RM I'!J12</f>
        <v>3904</v>
      </c>
      <c r="I12" s="665">
        <f>'[3]int.kiadások RM II maradvány'!I12-87</f>
        <v>-87</v>
      </c>
      <c r="J12" s="665">
        <f t="shared" si="3"/>
        <v>3817</v>
      </c>
      <c r="K12" s="667" t="s">
        <v>609</v>
      </c>
      <c r="L12" s="665">
        <f>'[3]int.kiadások RM I'!N12</f>
        <v>0</v>
      </c>
      <c r="M12" s="665"/>
      <c r="N12" s="665">
        <f t="shared" si="4"/>
        <v>0</v>
      </c>
      <c r="O12" s="665">
        <f>'[3]int.kiadások RM I'!Q12</f>
        <v>0</v>
      </c>
      <c r="P12" s="665"/>
      <c r="Q12" s="665">
        <f t="shared" si="5"/>
        <v>0</v>
      </c>
      <c r="R12" s="666">
        <f t="shared" si="6"/>
        <v>199724</v>
      </c>
      <c r="S12" s="666">
        <f t="shared" si="6"/>
        <v>6679</v>
      </c>
      <c r="T12" s="666">
        <f t="shared" si="6"/>
        <v>206403</v>
      </c>
      <c r="U12" s="667" t="s">
        <v>609</v>
      </c>
      <c r="V12" s="665">
        <f>'[3]int.kiadások RM I'!X12</f>
        <v>0</v>
      </c>
      <c r="W12" s="665">
        <f>'[3]int.kiadások RM II maradvány'!W12+87</f>
        <v>87</v>
      </c>
      <c r="X12" s="665">
        <f t="shared" si="7"/>
        <v>87</v>
      </c>
      <c r="Y12" s="665">
        <f>'[3]int.kiadások RM I'!AA12</f>
        <v>0</v>
      </c>
      <c r="Z12" s="665">
        <f>'[3]int.kiadások RM II maradvány'!Z12</f>
        <v>0</v>
      </c>
      <c r="AA12" s="665">
        <f t="shared" si="8"/>
        <v>0</v>
      </c>
      <c r="AB12" s="665">
        <f>'[3]int.kiadások RM I'!AD12</f>
        <v>0</v>
      </c>
      <c r="AC12" s="665"/>
      <c r="AD12" s="665">
        <f t="shared" si="9"/>
        <v>0</v>
      </c>
      <c r="AE12" s="666">
        <f t="shared" si="10"/>
        <v>0</v>
      </c>
      <c r="AF12" s="666">
        <f t="shared" si="10"/>
        <v>87</v>
      </c>
      <c r="AG12" s="666">
        <f t="shared" si="10"/>
        <v>87</v>
      </c>
      <c r="AH12" s="666">
        <f t="shared" si="1"/>
        <v>199724</v>
      </c>
      <c r="AI12" s="666">
        <f t="shared" si="1"/>
        <v>6766</v>
      </c>
      <c r="AJ12" s="666">
        <f t="shared" si="1"/>
        <v>206490</v>
      </c>
    </row>
    <row r="13" spans="1:36" s="716" customFormat="1" ht="48.75" customHeight="1" x14ac:dyDescent="0.7">
      <c r="A13" s="667" t="s">
        <v>610</v>
      </c>
      <c r="B13" s="665">
        <f>'[3]int.kiadások RM I'!D13</f>
        <v>206365</v>
      </c>
      <c r="C13" s="665">
        <f>'[3]int.kiadások RM II maradvány'!C13</f>
        <v>3632</v>
      </c>
      <c r="D13" s="665">
        <f t="shared" si="2"/>
        <v>209997</v>
      </c>
      <c r="E13" s="665">
        <f>'[3]int.kiadások RM I'!G13</f>
        <v>30643</v>
      </c>
      <c r="F13" s="665">
        <f>'[3]int.kiadások RM II maradvány'!F13</f>
        <v>348</v>
      </c>
      <c r="G13" s="665">
        <f t="shared" si="0"/>
        <v>30991</v>
      </c>
      <c r="H13" s="665">
        <f>'[3]int.kiadások RM I'!J13</f>
        <v>4113</v>
      </c>
      <c r="I13" s="665">
        <f>'[3]int.kiadások RM II maradvány'!I13</f>
        <v>0</v>
      </c>
      <c r="J13" s="665">
        <f t="shared" si="3"/>
        <v>4113</v>
      </c>
      <c r="K13" s="667" t="s">
        <v>610</v>
      </c>
      <c r="L13" s="665">
        <f>'[3]int.kiadások RM I'!N13</f>
        <v>0</v>
      </c>
      <c r="M13" s="665"/>
      <c r="N13" s="665">
        <f t="shared" si="4"/>
        <v>0</v>
      </c>
      <c r="O13" s="665">
        <f>'[3]int.kiadások RM I'!Q13</f>
        <v>0</v>
      </c>
      <c r="P13" s="665"/>
      <c r="Q13" s="665">
        <f t="shared" si="5"/>
        <v>0</v>
      </c>
      <c r="R13" s="666">
        <f t="shared" si="6"/>
        <v>241121</v>
      </c>
      <c r="S13" s="666">
        <f t="shared" si="6"/>
        <v>3980</v>
      </c>
      <c r="T13" s="666">
        <f t="shared" si="6"/>
        <v>245101</v>
      </c>
      <c r="U13" s="667" t="s">
        <v>610</v>
      </c>
      <c r="V13" s="665">
        <f>'[3]int.kiadások RM I'!X13</f>
        <v>0</v>
      </c>
      <c r="W13" s="665">
        <f>'[3]int.kiadások RM II maradvány'!W13</f>
        <v>0</v>
      </c>
      <c r="X13" s="665">
        <f t="shared" si="7"/>
        <v>0</v>
      </c>
      <c r="Y13" s="665">
        <f>'[3]int.kiadások RM I'!AA13</f>
        <v>0</v>
      </c>
      <c r="Z13" s="665">
        <f>'[3]int.kiadások RM II maradvány'!Z13</f>
        <v>0</v>
      </c>
      <c r="AA13" s="665">
        <f t="shared" si="8"/>
        <v>0</v>
      </c>
      <c r="AB13" s="665">
        <f>'[3]int.kiadások RM I'!AD13</f>
        <v>0</v>
      </c>
      <c r="AC13" s="665"/>
      <c r="AD13" s="665">
        <f t="shared" si="9"/>
        <v>0</v>
      </c>
      <c r="AE13" s="666">
        <f t="shared" si="10"/>
        <v>0</v>
      </c>
      <c r="AF13" s="666">
        <f t="shared" si="10"/>
        <v>0</v>
      </c>
      <c r="AG13" s="666">
        <f t="shared" si="10"/>
        <v>0</v>
      </c>
      <c r="AH13" s="666">
        <f t="shared" si="1"/>
        <v>241121</v>
      </c>
      <c r="AI13" s="666">
        <f t="shared" si="1"/>
        <v>3980</v>
      </c>
      <c r="AJ13" s="666">
        <f t="shared" si="1"/>
        <v>245101</v>
      </c>
    </row>
    <row r="14" spans="1:36" s="716" customFormat="1" ht="48.75" customHeight="1" x14ac:dyDescent="0.7">
      <c r="A14" s="667" t="s">
        <v>611</v>
      </c>
      <c r="B14" s="665">
        <f>'[3]int.kiadások RM I'!D14</f>
        <v>195929</v>
      </c>
      <c r="C14" s="665">
        <f>'[3]int.kiadások RM II maradvány'!C14</f>
        <v>2432</v>
      </c>
      <c r="D14" s="665">
        <f t="shared" si="2"/>
        <v>198361</v>
      </c>
      <c r="E14" s="665">
        <f>'[3]int.kiadások RM I'!G14</f>
        <v>28860</v>
      </c>
      <c r="F14" s="665">
        <f>'[3]int.kiadások RM II maradvány'!F14</f>
        <v>211</v>
      </c>
      <c r="G14" s="665">
        <f t="shared" si="0"/>
        <v>29071</v>
      </c>
      <c r="H14" s="665">
        <f>'[3]int.kiadások RM I'!J14</f>
        <v>3491</v>
      </c>
      <c r="I14" s="665">
        <f>'[3]int.kiadások RM II maradvány'!I14-23</f>
        <v>172</v>
      </c>
      <c r="J14" s="665">
        <f t="shared" si="3"/>
        <v>3663</v>
      </c>
      <c r="K14" s="667" t="s">
        <v>611</v>
      </c>
      <c r="L14" s="665">
        <f>'[3]int.kiadások RM I'!N14</f>
        <v>0</v>
      </c>
      <c r="M14" s="665"/>
      <c r="N14" s="665">
        <f t="shared" si="4"/>
        <v>0</v>
      </c>
      <c r="O14" s="665">
        <f>'[3]int.kiadások RM I'!Q14</f>
        <v>0</v>
      </c>
      <c r="P14" s="665"/>
      <c r="Q14" s="665">
        <f t="shared" si="5"/>
        <v>0</v>
      </c>
      <c r="R14" s="666">
        <f t="shared" si="6"/>
        <v>228280</v>
      </c>
      <c r="S14" s="666">
        <f t="shared" si="6"/>
        <v>2815</v>
      </c>
      <c r="T14" s="666">
        <f t="shared" si="6"/>
        <v>231095</v>
      </c>
      <c r="U14" s="667" t="s">
        <v>611</v>
      </c>
      <c r="V14" s="665">
        <f>'[3]int.kiadások RM I'!X14</f>
        <v>0</v>
      </c>
      <c r="W14" s="665">
        <f>'[3]int.kiadások RM II maradvány'!W14+23</f>
        <v>23</v>
      </c>
      <c r="X14" s="665">
        <f t="shared" si="7"/>
        <v>23</v>
      </c>
      <c r="Y14" s="665">
        <f>'[3]int.kiadások RM I'!AA14</f>
        <v>0</v>
      </c>
      <c r="Z14" s="665">
        <f>'[3]int.kiadások RM II maradvány'!Z14</f>
        <v>0</v>
      </c>
      <c r="AA14" s="665">
        <f t="shared" si="8"/>
        <v>0</v>
      </c>
      <c r="AB14" s="665">
        <f>'[3]int.kiadások RM I'!AD14</f>
        <v>0</v>
      </c>
      <c r="AC14" s="665"/>
      <c r="AD14" s="665">
        <f t="shared" si="9"/>
        <v>0</v>
      </c>
      <c r="AE14" s="666">
        <f t="shared" si="10"/>
        <v>0</v>
      </c>
      <c r="AF14" s="666">
        <f t="shared" si="10"/>
        <v>23</v>
      </c>
      <c r="AG14" s="666">
        <f t="shared" si="10"/>
        <v>23</v>
      </c>
      <c r="AH14" s="666">
        <f t="shared" si="1"/>
        <v>228280</v>
      </c>
      <c r="AI14" s="666">
        <f t="shared" si="1"/>
        <v>2838</v>
      </c>
      <c r="AJ14" s="666">
        <f t="shared" si="1"/>
        <v>231118</v>
      </c>
    </row>
    <row r="15" spans="1:36" s="716" customFormat="1" ht="48.75" customHeight="1" x14ac:dyDescent="0.7">
      <c r="A15" s="667" t="s">
        <v>612</v>
      </c>
      <c r="B15" s="665">
        <f>'[3]int.kiadások RM I'!D15</f>
        <v>180466</v>
      </c>
      <c r="C15" s="665">
        <f>'[3]int.kiadások RM II maradvány'!C15</f>
        <v>3977</v>
      </c>
      <c r="D15" s="665">
        <f t="shared" si="2"/>
        <v>184443</v>
      </c>
      <c r="E15" s="665">
        <f>'[3]int.kiadások RM I'!G15</f>
        <v>23773</v>
      </c>
      <c r="F15" s="665">
        <f>'[3]int.kiadások RM II maradvány'!F15</f>
        <v>395</v>
      </c>
      <c r="G15" s="665">
        <f t="shared" si="0"/>
        <v>24168</v>
      </c>
      <c r="H15" s="665">
        <f>'[3]int.kiadások RM I'!J15</f>
        <v>3040</v>
      </c>
      <c r="I15" s="665">
        <f>'[3]int.kiadások RM II maradvány'!I15+381</f>
        <v>1789</v>
      </c>
      <c r="J15" s="665">
        <f t="shared" si="3"/>
        <v>4829</v>
      </c>
      <c r="K15" s="667" t="s">
        <v>612</v>
      </c>
      <c r="L15" s="665">
        <f>'[3]int.kiadások RM I'!N15</f>
        <v>0</v>
      </c>
      <c r="M15" s="665"/>
      <c r="N15" s="665">
        <f t="shared" si="4"/>
        <v>0</v>
      </c>
      <c r="O15" s="665">
        <f>'[3]int.kiadások RM I'!Q15</f>
        <v>0</v>
      </c>
      <c r="P15" s="665"/>
      <c r="Q15" s="665">
        <f t="shared" si="5"/>
        <v>0</v>
      </c>
      <c r="R15" s="666">
        <f t="shared" si="6"/>
        <v>207279</v>
      </c>
      <c r="S15" s="666">
        <f t="shared" si="6"/>
        <v>6161</v>
      </c>
      <c r="T15" s="666">
        <f t="shared" si="6"/>
        <v>213440</v>
      </c>
      <c r="U15" s="667" t="s">
        <v>612</v>
      </c>
      <c r="V15" s="665">
        <f>'[3]int.kiadások RM I'!X15</f>
        <v>0</v>
      </c>
      <c r="W15" s="665">
        <f>'[3]int.kiadások RM II maradvány'!W15</f>
        <v>0</v>
      </c>
      <c r="X15" s="665">
        <f t="shared" si="7"/>
        <v>0</v>
      </c>
      <c r="Y15" s="665">
        <f>'[3]int.kiadások RM I'!AA15</f>
        <v>0</v>
      </c>
      <c r="Z15" s="665">
        <f>'[3]int.kiadások RM II maradvány'!Z15</f>
        <v>0</v>
      </c>
      <c r="AA15" s="665">
        <f t="shared" si="8"/>
        <v>0</v>
      </c>
      <c r="AB15" s="665">
        <f>'[3]int.kiadások RM I'!AD15</f>
        <v>0</v>
      </c>
      <c r="AC15" s="665"/>
      <c r="AD15" s="665">
        <f t="shared" si="9"/>
        <v>0</v>
      </c>
      <c r="AE15" s="666">
        <f t="shared" si="10"/>
        <v>0</v>
      </c>
      <c r="AF15" s="666">
        <f t="shared" si="10"/>
        <v>0</v>
      </c>
      <c r="AG15" s="666">
        <f t="shared" si="10"/>
        <v>0</v>
      </c>
      <c r="AH15" s="666">
        <f t="shared" si="1"/>
        <v>207279</v>
      </c>
      <c r="AI15" s="666">
        <f t="shared" si="1"/>
        <v>6161</v>
      </c>
      <c r="AJ15" s="666">
        <f t="shared" si="1"/>
        <v>213440</v>
      </c>
    </row>
    <row r="16" spans="1:36" s="716" customFormat="1" ht="48.75" customHeight="1" x14ac:dyDescent="0.7">
      <c r="A16" s="667" t="s">
        <v>614</v>
      </c>
      <c r="B16" s="665">
        <f>'[3]int.kiadások RM I'!D16</f>
        <v>137202</v>
      </c>
      <c r="C16" s="665">
        <f>'[3]int.kiadások RM II maradvány'!C16</f>
        <v>1612</v>
      </c>
      <c r="D16" s="665">
        <f t="shared" si="2"/>
        <v>138814</v>
      </c>
      <c r="E16" s="665">
        <f>'[3]int.kiadások RM I'!G16</f>
        <v>17761</v>
      </c>
      <c r="F16" s="665">
        <f>'[3]int.kiadások RM II maradvány'!F16</f>
        <v>221</v>
      </c>
      <c r="G16" s="665">
        <f t="shared" si="0"/>
        <v>17982</v>
      </c>
      <c r="H16" s="665">
        <f>'[3]int.kiadások RM I'!J16</f>
        <v>3063</v>
      </c>
      <c r="I16" s="665">
        <f>'[3]int.kiadások RM II maradvány'!I16</f>
        <v>624</v>
      </c>
      <c r="J16" s="665">
        <f t="shared" si="3"/>
        <v>3687</v>
      </c>
      <c r="K16" s="667" t="s">
        <v>614</v>
      </c>
      <c r="L16" s="665">
        <f>'[3]int.kiadások RM I'!N16</f>
        <v>0</v>
      </c>
      <c r="M16" s="665"/>
      <c r="N16" s="665">
        <f t="shared" si="4"/>
        <v>0</v>
      </c>
      <c r="O16" s="665">
        <f>'[3]int.kiadások RM I'!Q16</f>
        <v>0</v>
      </c>
      <c r="P16" s="665"/>
      <c r="Q16" s="665">
        <f t="shared" si="5"/>
        <v>0</v>
      </c>
      <c r="R16" s="666">
        <f t="shared" si="6"/>
        <v>158026</v>
      </c>
      <c r="S16" s="666">
        <f t="shared" si="6"/>
        <v>2457</v>
      </c>
      <c r="T16" s="666">
        <f t="shared" si="6"/>
        <v>160483</v>
      </c>
      <c r="U16" s="667" t="s">
        <v>614</v>
      </c>
      <c r="V16" s="665">
        <f>'[3]int.kiadások RM I'!X16</f>
        <v>0</v>
      </c>
      <c r="W16" s="665">
        <f>'[3]int.kiadások RM II maradvány'!W16</f>
        <v>0</v>
      </c>
      <c r="X16" s="665">
        <f t="shared" si="7"/>
        <v>0</v>
      </c>
      <c r="Y16" s="665">
        <f>'[3]int.kiadások RM I'!AA16</f>
        <v>0</v>
      </c>
      <c r="Z16" s="665">
        <f>'[3]int.kiadások RM II maradvány'!Z16</f>
        <v>0</v>
      </c>
      <c r="AA16" s="665">
        <f t="shared" si="8"/>
        <v>0</v>
      </c>
      <c r="AB16" s="665">
        <f>'[3]int.kiadások RM I'!AD16</f>
        <v>0</v>
      </c>
      <c r="AC16" s="665"/>
      <c r="AD16" s="665">
        <f t="shared" si="9"/>
        <v>0</v>
      </c>
      <c r="AE16" s="666">
        <f t="shared" si="10"/>
        <v>0</v>
      </c>
      <c r="AF16" s="666">
        <f t="shared" si="10"/>
        <v>0</v>
      </c>
      <c r="AG16" s="666">
        <f t="shared" si="10"/>
        <v>0</v>
      </c>
      <c r="AH16" s="666">
        <f t="shared" si="1"/>
        <v>158026</v>
      </c>
      <c r="AI16" s="666">
        <f t="shared" si="1"/>
        <v>2457</v>
      </c>
      <c r="AJ16" s="666">
        <f t="shared" si="1"/>
        <v>160483</v>
      </c>
    </row>
    <row r="17" spans="1:36" s="716" customFormat="1" ht="48.75" customHeight="1" x14ac:dyDescent="0.7">
      <c r="A17" s="667" t="s">
        <v>615</v>
      </c>
      <c r="B17" s="665">
        <f>'[3]int.kiadások RM I'!D17</f>
        <v>146204</v>
      </c>
      <c r="C17" s="665">
        <f>'[3]int.kiadások RM II maradvány'!C17</f>
        <v>8112</v>
      </c>
      <c r="D17" s="665">
        <f t="shared" si="2"/>
        <v>154316</v>
      </c>
      <c r="E17" s="665">
        <f>'[3]int.kiadások RM I'!G17</f>
        <v>19051</v>
      </c>
      <c r="F17" s="665">
        <f>'[3]int.kiadások RM II maradvány'!F17</f>
        <v>1065</v>
      </c>
      <c r="G17" s="665">
        <f t="shared" si="0"/>
        <v>20116</v>
      </c>
      <c r="H17" s="665">
        <f>'[3]int.kiadások RM I'!J17</f>
        <v>3688</v>
      </c>
      <c r="I17" s="665">
        <f>'[3]int.kiadások RM II maradvány'!I17</f>
        <v>354</v>
      </c>
      <c r="J17" s="665">
        <f t="shared" si="3"/>
        <v>4042</v>
      </c>
      <c r="K17" s="667" t="s">
        <v>615</v>
      </c>
      <c r="L17" s="665">
        <f>'[3]int.kiadások RM I'!N17</f>
        <v>0</v>
      </c>
      <c r="M17" s="665"/>
      <c r="N17" s="665">
        <f t="shared" si="4"/>
        <v>0</v>
      </c>
      <c r="O17" s="665">
        <f>'[3]int.kiadások RM I'!Q17</f>
        <v>0</v>
      </c>
      <c r="P17" s="665"/>
      <c r="Q17" s="665">
        <f t="shared" si="5"/>
        <v>0</v>
      </c>
      <c r="R17" s="666">
        <f t="shared" si="6"/>
        <v>168943</v>
      </c>
      <c r="S17" s="666">
        <f t="shared" si="6"/>
        <v>9531</v>
      </c>
      <c r="T17" s="666">
        <f t="shared" si="6"/>
        <v>178474</v>
      </c>
      <c r="U17" s="667" t="s">
        <v>615</v>
      </c>
      <c r="V17" s="665">
        <f>'[3]int.kiadások RM I'!X17</f>
        <v>0</v>
      </c>
      <c r="W17" s="665">
        <f>'[3]int.kiadások RM II maradvány'!W17</f>
        <v>2825</v>
      </c>
      <c r="X17" s="665">
        <f t="shared" si="7"/>
        <v>2825</v>
      </c>
      <c r="Y17" s="665">
        <f>'[3]int.kiadások RM I'!AA17</f>
        <v>0</v>
      </c>
      <c r="Z17" s="665">
        <f>'[3]int.kiadások RM II maradvány'!Z17</f>
        <v>0</v>
      </c>
      <c r="AA17" s="665">
        <f t="shared" si="8"/>
        <v>0</v>
      </c>
      <c r="AB17" s="665">
        <f>'[3]int.kiadások RM I'!AD17</f>
        <v>0</v>
      </c>
      <c r="AC17" s="665"/>
      <c r="AD17" s="665">
        <f t="shared" si="9"/>
        <v>0</v>
      </c>
      <c r="AE17" s="666">
        <f t="shared" si="10"/>
        <v>0</v>
      </c>
      <c r="AF17" s="666">
        <f t="shared" si="10"/>
        <v>2825</v>
      </c>
      <c r="AG17" s="666">
        <f t="shared" si="10"/>
        <v>2825</v>
      </c>
      <c r="AH17" s="666">
        <f t="shared" si="1"/>
        <v>168943</v>
      </c>
      <c r="AI17" s="666">
        <f t="shared" si="1"/>
        <v>12356</v>
      </c>
      <c r="AJ17" s="666">
        <f t="shared" si="1"/>
        <v>181299</v>
      </c>
    </row>
    <row r="18" spans="1:36" s="716" customFormat="1" ht="48.75" customHeight="1" x14ac:dyDescent="0.7">
      <c r="A18" s="667" t="s">
        <v>616</v>
      </c>
      <c r="B18" s="665">
        <f>'[3]int.kiadások RM I'!D18</f>
        <v>198162</v>
      </c>
      <c r="C18" s="665">
        <f>'[3]int.kiadások RM II maradvány'!C18</f>
        <v>6669</v>
      </c>
      <c r="D18" s="665">
        <f t="shared" si="2"/>
        <v>204831</v>
      </c>
      <c r="E18" s="665">
        <f>'[3]int.kiadások RM I'!G18</f>
        <v>29368</v>
      </c>
      <c r="F18" s="665">
        <f>'[3]int.kiadások RM II maradvány'!F18</f>
        <v>873</v>
      </c>
      <c r="G18" s="665">
        <f t="shared" si="0"/>
        <v>30241</v>
      </c>
      <c r="H18" s="665">
        <f>'[3]int.kiadások RM I'!J18</f>
        <v>3330</v>
      </c>
      <c r="I18" s="665">
        <f>'[3]int.kiadások RM II maradvány'!I18</f>
        <v>1252</v>
      </c>
      <c r="J18" s="665">
        <f t="shared" si="3"/>
        <v>4582</v>
      </c>
      <c r="K18" s="667" t="s">
        <v>616</v>
      </c>
      <c r="L18" s="665">
        <f>'[3]int.kiadások RM I'!N18</f>
        <v>0</v>
      </c>
      <c r="M18" s="665"/>
      <c r="N18" s="665">
        <f t="shared" si="4"/>
        <v>0</v>
      </c>
      <c r="O18" s="665">
        <f>'[3]int.kiadások RM I'!Q18</f>
        <v>0</v>
      </c>
      <c r="P18" s="665"/>
      <c r="Q18" s="665">
        <f t="shared" si="5"/>
        <v>0</v>
      </c>
      <c r="R18" s="666">
        <f t="shared" si="6"/>
        <v>230860</v>
      </c>
      <c r="S18" s="666">
        <f t="shared" si="6"/>
        <v>8794</v>
      </c>
      <c r="T18" s="666">
        <f t="shared" si="6"/>
        <v>239654</v>
      </c>
      <c r="U18" s="667" t="s">
        <v>616</v>
      </c>
      <c r="V18" s="665">
        <f>'[3]int.kiadások RM I'!X18</f>
        <v>0</v>
      </c>
      <c r="W18" s="665">
        <f>'[3]int.kiadások RM II maradvány'!W18</f>
        <v>1025</v>
      </c>
      <c r="X18" s="665">
        <f t="shared" si="7"/>
        <v>1025</v>
      </c>
      <c r="Y18" s="665">
        <f>'[3]int.kiadások RM I'!AA18</f>
        <v>0</v>
      </c>
      <c r="Z18" s="665">
        <f>'[3]int.kiadások RM II maradvány'!Z18</f>
        <v>0</v>
      </c>
      <c r="AA18" s="665">
        <f t="shared" si="8"/>
        <v>0</v>
      </c>
      <c r="AB18" s="665">
        <f>'[3]int.kiadások RM I'!AD18</f>
        <v>0</v>
      </c>
      <c r="AC18" s="665"/>
      <c r="AD18" s="665">
        <f t="shared" si="9"/>
        <v>0</v>
      </c>
      <c r="AE18" s="666">
        <f t="shared" si="10"/>
        <v>0</v>
      </c>
      <c r="AF18" s="666">
        <f t="shared" si="10"/>
        <v>1025</v>
      </c>
      <c r="AG18" s="666">
        <f t="shared" si="10"/>
        <v>1025</v>
      </c>
      <c r="AH18" s="666">
        <f t="shared" si="1"/>
        <v>230860</v>
      </c>
      <c r="AI18" s="666">
        <f t="shared" si="1"/>
        <v>9819</v>
      </c>
      <c r="AJ18" s="666">
        <f t="shared" si="1"/>
        <v>240679</v>
      </c>
    </row>
    <row r="19" spans="1:36" s="716" customFormat="1" ht="48.75" customHeight="1" x14ac:dyDescent="0.7">
      <c r="A19" s="667" t="s">
        <v>617</v>
      </c>
      <c r="B19" s="665">
        <f>'[3]int.kiadások RM I'!D19</f>
        <v>247648</v>
      </c>
      <c r="C19" s="665">
        <f>'[3]int.kiadások RM II maradvány'!C19</f>
        <v>4657</v>
      </c>
      <c r="D19" s="665">
        <f t="shared" si="2"/>
        <v>252305</v>
      </c>
      <c r="E19" s="665">
        <f>'[3]int.kiadások RM I'!G19</f>
        <v>36060</v>
      </c>
      <c r="F19" s="665">
        <f>'[3]int.kiadások RM II maradvány'!F19</f>
        <v>458</v>
      </c>
      <c r="G19" s="665">
        <f t="shared" si="0"/>
        <v>36518</v>
      </c>
      <c r="H19" s="665">
        <f>'[3]int.kiadások RM I'!J19</f>
        <v>4944</v>
      </c>
      <c r="I19" s="665">
        <f>'[3]int.kiadások RM II maradvány'!I19</f>
        <v>355</v>
      </c>
      <c r="J19" s="665">
        <f t="shared" si="3"/>
        <v>5299</v>
      </c>
      <c r="K19" s="667" t="s">
        <v>617</v>
      </c>
      <c r="L19" s="665">
        <f>'[3]int.kiadások RM I'!N19</f>
        <v>0</v>
      </c>
      <c r="M19" s="665"/>
      <c r="N19" s="665">
        <f t="shared" si="4"/>
        <v>0</v>
      </c>
      <c r="O19" s="665">
        <f>'[3]int.kiadások RM I'!Q19</f>
        <v>0</v>
      </c>
      <c r="P19" s="665"/>
      <c r="Q19" s="665">
        <f t="shared" si="5"/>
        <v>0</v>
      </c>
      <c r="R19" s="666">
        <f t="shared" si="6"/>
        <v>288652</v>
      </c>
      <c r="S19" s="666">
        <f t="shared" si="6"/>
        <v>5470</v>
      </c>
      <c r="T19" s="666">
        <f t="shared" si="6"/>
        <v>294122</v>
      </c>
      <c r="U19" s="667" t="s">
        <v>617</v>
      </c>
      <c r="V19" s="665">
        <f>'[3]int.kiadások RM I'!X19</f>
        <v>0</v>
      </c>
      <c r="W19" s="665">
        <f>'[3]int.kiadások RM II maradvány'!W19</f>
        <v>0</v>
      </c>
      <c r="X19" s="665">
        <f t="shared" si="7"/>
        <v>0</v>
      </c>
      <c r="Y19" s="665">
        <f>'[3]int.kiadások RM I'!AA19</f>
        <v>0</v>
      </c>
      <c r="Z19" s="665">
        <f>'[3]int.kiadások RM II maradvány'!Z19</f>
        <v>0</v>
      </c>
      <c r="AA19" s="665">
        <f t="shared" si="8"/>
        <v>0</v>
      </c>
      <c r="AB19" s="665">
        <f>'[3]int.kiadások RM I'!AD19</f>
        <v>0</v>
      </c>
      <c r="AC19" s="665"/>
      <c r="AD19" s="665">
        <f t="shared" si="9"/>
        <v>0</v>
      </c>
      <c r="AE19" s="666">
        <f t="shared" si="10"/>
        <v>0</v>
      </c>
      <c r="AF19" s="666">
        <f t="shared" si="10"/>
        <v>0</v>
      </c>
      <c r="AG19" s="666">
        <f t="shared" si="10"/>
        <v>0</v>
      </c>
      <c r="AH19" s="666">
        <f t="shared" si="1"/>
        <v>288652</v>
      </c>
      <c r="AI19" s="666">
        <f t="shared" si="1"/>
        <v>5470</v>
      </c>
      <c r="AJ19" s="666">
        <f t="shared" si="1"/>
        <v>294122</v>
      </c>
    </row>
    <row r="20" spans="1:36" s="716" customFormat="1" ht="48.75" customHeight="1" x14ac:dyDescent="0.7">
      <c r="A20" s="667" t="s">
        <v>618</v>
      </c>
      <c r="B20" s="665">
        <f>'[3]int.kiadások RM I'!D20</f>
        <v>118095</v>
      </c>
      <c r="C20" s="665">
        <f>'[3]int.kiadások RM II maradvány'!C20</f>
        <v>1127</v>
      </c>
      <c r="D20" s="665">
        <f t="shared" si="2"/>
        <v>119222</v>
      </c>
      <c r="E20" s="665">
        <f>'[3]int.kiadások RM I'!G20</f>
        <v>15294</v>
      </c>
      <c r="F20" s="665">
        <f>'[3]int.kiadások RM II maradvány'!F20</f>
        <v>165</v>
      </c>
      <c r="G20" s="665">
        <f t="shared" si="0"/>
        <v>15459</v>
      </c>
      <c r="H20" s="665">
        <f>'[3]int.kiadások RM I'!J20</f>
        <v>2635</v>
      </c>
      <c r="I20" s="665">
        <f>'[3]int.kiadások RM II maradvány'!I20-93</f>
        <v>1029</v>
      </c>
      <c r="J20" s="665">
        <f t="shared" si="3"/>
        <v>3664</v>
      </c>
      <c r="K20" s="667" t="s">
        <v>618</v>
      </c>
      <c r="L20" s="665">
        <f>'[3]int.kiadások RM I'!N20</f>
        <v>0</v>
      </c>
      <c r="M20" s="665"/>
      <c r="N20" s="665">
        <f t="shared" si="4"/>
        <v>0</v>
      </c>
      <c r="O20" s="665">
        <f>'[3]int.kiadások RM I'!Q20</f>
        <v>0</v>
      </c>
      <c r="P20" s="665"/>
      <c r="Q20" s="665">
        <f t="shared" si="5"/>
        <v>0</v>
      </c>
      <c r="R20" s="666">
        <f t="shared" si="6"/>
        <v>136024</v>
      </c>
      <c r="S20" s="666">
        <f t="shared" si="6"/>
        <v>2321</v>
      </c>
      <c r="T20" s="666">
        <f t="shared" si="6"/>
        <v>138345</v>
      </c>
      <c r="U20" s="667" t="s">
        <v>618</v>
      </c>
      <c r="V20" s="665">
        <f>'[3]int.kiadások RM I'!X20</f>
        <v>0</v>
      </c>
      <c r="W20" s="665">
        <f>'[3]int.kiadások RM II maradvány'!W20+93</f>
        <v>93</v>
      </c>
      <c r="X20" s="665">
        <f t="shared" si="7"/>
        <v>93</v>
      </c>
      <c r="Y20" s="665">
        <f>'[3]int.kiadások RM I'!AA20</f>
        <v>0</v>
      </c>
      <c r="Z20" s="665">
        <f>'[3]int.kiadások RM II maradvány'!Z20</f>
        <v>0</v>
      </c>
      <c r="AA20" s="665">
        <f t="shared" si="8"/>
        <v>0</v>
      </c>
      <c r="AB20" s="665">
        <f>'[3]int.kiadások RM I'!AD20</f>
        <v>0</v>
      </c>
      <c r="AC20" s="665"/>
      <c r="AD20" s="665">
        <f t="shared" si="9"/>
        <v>0</v>
      </c>
      <c r="AE20" s="666">
        <f t="shared" si="10"/>
        <v>0</v>
      </c>
      <c r="AF20" s="666">
        <f t="shared" si="10"/>
        <v>93</v>
      </c>
      <c r="AG20" s="666">
        <f t="shared" si="10"/>
        <v>93</v>
      </c>
      <c r="AH20" s="666">
        <f t="shared" si="1"/>
        <v>136024</v>
      </c>
      <c r="AI20" s="666">
        <f t="shared" si="1"/>
        <v>2414</v>
      </c>
      <c r="AJ20" s="666">
        <f t="shared" si="1"/>
        <v>138438</v>
      </c>
    </row>
    <row r="21" spans="1:36" s="716" customFormat="1" ht="48.75" customHeight="1" x14ac:dyDescent="0.7">
      <c r="A21" s="667" t="s">
        <v>619</v>
      </c>
      <c r="B21" s="665">
        <f>'[3]int.kiadások RM I'!D21</f>
        <v>113549</v>
      </c>
      <c r="C21" s="665">
        <f>'[3]int.kiadások RM II maradvány'!C21</f>
        <v>6141</v>
      </c>
      <c r="D21" s="665">
        <f t="shared" si="2"/>
        <v>119690</v>
      </c>
      <c r="E21" s="665">
        <f>'[3]int.kiadások RM I'!G21</f>
        <v>14785</v>
      </c>
      <c r="F21" s="665">
        <f>'[3]int.kiadások RM II maradvány'!F21</f>
        <v>809</v>
      </c>
      <c r="G21" s="665">
        <f t="shared" si="0"/>
        <v>15594</v>
      </c>
      <c r="H21" s="665">
        <f>'[3]int.kiadások RM I'!J21</f>
        <v>2508</v>
      </c>
      <c r="I21" s="665">
        <f>'[3]int.kiadások RM II maradvány'!I21+269</f>
        <v>269</v>
      </c>
      <c r="J21" s="665">
        <f t="shared" si="3"/>
        <v>2777</v>
      </c>
      <c r="K21" s="667" t="s">
        <v>619</v>
      </c>
      <c r="L21" s="665">
        <f>'[3]int.kiadások RM I'!N21</f>
        <v>0</v>
      </c>
      <c r="M21" s="665"/>
      <c r="N21" s="665">
        <f t="shared" si="4"/>
        <v>0</v>
      </c>
      <c r="O21" s="665">
        <f>'[3]int.kiadások RM I'!Q21</f>
        <v>0</v>
      </c>
      <c r="P21" s="665"/>
      <c r="Q21" s="665">
        <f t="shared" si="5"/>
        <v>0</v>
      </c>
      <c r="R21" s="666">
        <f t="shared" si="6"/>
        <v>130842</v>
      </c>
      <c r="S21" s="666">
        <f t="shared" si="6"/>
        <v>7219</v>
      </c>
      <c r="T21" s="666">
        <f t="shared" si="6"/>
        <v>138061</v>
      </c>
      <c r="U21" s="667" t="s">
        <v>619</v>
      </c>
      <c r="V21" s="665">
        <f>'[3]int.kiadások RM I'!X21</f>
        <v>0</v>
      </c>
      <c r="W21" s="665">
        <f>'[3]int.kiadások RM II maradvány'!W21</f>
        <v>0</v>
      </c>
      <c r="X21" s="665">
        <f t="shared" si="7"/>
        <v>0</v>
      </c>
      <c r="Y21" s="665">
        <f>'[3]int.kiadások RM I'!AA21</f>
        <v>0</v>
      </c>
      <c r="Z21" s="665">
        <f>'[3]int.kiadások RM II maradvány'!Z21</f>
        <v>0</v>
      </c>
      <c r="AA21" s="665">
        <f t="shared" si="8"/>
        <v>0</v>
      </c>
      <c r="AB21" s="665">
        <f>'[3]int.kiadások RM I'!AD21</f>
        <v>0</v>
      </c>
      <c r="AC21" s="665"/>
      <c r="AD21" s="665">
        <f t="shared" si="9"/>
        <v>0</v>
      </c>
      <c r="AE21" s="666">
        <f t="shared" si="10"/>
        <v>0</v>
      </c>
      <c r="AF21" s="666">
        <f t="shared" si="10"/>
        <v>0</v>
      </c>
      <c r="AG21" s="666">
        <f t="shared" si="10"/>
        <v>0</v>
      </c>
      <c r="AH21" s="666">
        <f t="shared" si="1"/>
        <v>130842</v>
      </c>
      <c r="AI21" s="666">
        <f t="shared" si="1"/>
        <v>7219</v>
      </c>
      <c r="AJ21" s="666">
        <f t="shared" si="1"/>
        <v>138061</v>
      </c>
    </row>
    <row r="22" spans="1:36" s="716" customFormat="1" ht="48.75" customHeight="1" x14ac:dyDescent="0.7">
      <c r="A22" s="667" t="s">
        <v>620</v>
      </c>
      <c r="B22" s="665">
        <f>'[3]int.kiadások RM I'!D22</f>
        <v>140189</v>
      </c>
      <c r="C22" s="665">
        <f>'[3]int.kiadások RM II maradvány'!C22</f>
        <v>2822</v>
      </c>
      <c r="D22" s="665">
        <f t="shared" si="2"/>
        <v>143011</v>
      </c>
      <c r="E22" s="665">
        <f>'[3]int.kiadások RM I'!G22</f>
        <v>18182</v>
      </c>
      <c r="F22" s="665">
        <f>'[3]int.kiadások RM II maradvány'!F22</f>
        <v>372</v>
      </c>
      <c r="G22" s="665">
        <f t="shared" si="0"/>
        <v>18554</v>
      </c>
      <c r="H22" s="665">
        <f>'[3]int.kiadások RM I'!J22</f>
        <v>3741</v>
      </c>
      <c r="I22" s="665">
        <f>'[3]int.kiadások RM II maradvány'!I22</f>
        <v>350</v>
      </c>
      <c r="J22" s="665">
        <f t="shared" si="3"/>
        <v>4091</v>
      </c>
      <c r="K22" s="667" t="s">
        <v>620</v>
      </c>
      <c r="L22" s="665">
        <f>'[3]int.kiadások RM I'!N22</f>
        <v>0</v>
      </c>
      <c r="M22" s="665"/>
      <c r="N22" s="665">
        <f t="shared" si="4"/>
        <v>0</v>
      </c>
      <c r="O22" s="665">
        <f>'[3]int.kiadások RM I'!Q22</f>
        <v>0</v>
      </c>
      <c r="P22" s="665"/>
      <c r="Q22" s="665">
        <f t="shared" si="5"/>
        <v>0</v>
      </c>
      <c r="R22" s="666">
        <f t="shared" si="6"/>
        <v>162112</v>
      </c>
      <c r="S22" s="666">
        <f t="shared" si="6"/>
        <v>3544</v>
      </c>
      <c r="T22" s="666">
        <f t="shared" si="6"/>
        <v>165656</v>
      </c>
      <c r="U22" s="667" t="s">
        <v>620</v>
      </c>
      <c r="V22" s="665">
        <f>'[3]int.kiadások RM I'!X22</f>
        <v>0</v>
      </c>
      <c r="W22" s="665">
        <f>'[3]int.kiadások RM II maradvány'!W22</f>
        <v>0</v>
      </c>
      <c r="X22" s="665">
        <f t="shared" si="7"/>
        <v>0</v>
      </c>
      <c r="Y22" s="665">
        <f>'[3]int.kiadások RM I'!AA22</f>
        <v>0</v>
      </c>
      <c r="Z22" s="665">
        <f>'[3]int.kiadások RM II maradvány'!Z22</f>
        <v>0</v>
      </c>
      <c r="AA22" s="665">
        <f t="shared" si="8"/>
        <v>0</v>
      </c>
      <c r="AB22" s="665">
        <f>'[3]int.kiadások RM I'!AD22</f>
        <v>0</v>
      </c>
      <c r="AC22" s="665"/>
      <c r="AD22" s="665">
        <f t="shared" si="9"/>
        <v>0</v>
      </c>
      <c r="AE22" s="666">
        <f t="shared" si="10"/>
        <v>0</v>
      </c>
      <c r="AF22" s="666">
        <f t="shared" si="10"/>
        <v>0</v>
      </c>
      <c r="AG22" s="666">
        <f t="shared" si="10"/>
        <v>0</v>
      </c>
      <c r="AH22" s="666">
        <f t="shared" si="1"/>
        <v>162112</v>
      </c>
      <c r="AI22" s="666">
        <f t="shared" si="1"/>
        <v>3544</v>
      </c>
      <c r="AJ22" s="666">
        <f t="shared" si="1"/>
        <v>165656</v>
      </c>
    </row>
    <row r="23" spans="1:36" s="716" customFormat="1" ht="48.75" customHeight="1" x14ac:dyDescent="0.7">
      <c r="A23" s="667" t="s">
        <v>621</v>
      </c>
      <c r="B23" s="665">
        <f>'[3]int.kiadások RM I'!D23</f>
        <v>167298</v>
      </c>
      <c r="C23" s="665">
        <f>'[3]int.kiadások RM II maradvány'!C23</f>
        <v>4788</v>
      </c>
      <c r="D23" s="665">
        <f t="shared" si="2"/>
        <v>172086</v>
      </c>
      <c r="E23" s="665">
        <f>'[3]int.kiadások RM I'!G23</f>
        <v>22064</v>
      </c>
      <c r="F23" s="665">
        <f>'[3]int.kiadások RM II maradvány'!F23</f>
        <v>571</v>
      </c>
      <c r="G23" s="665">
        <f t="shared" si="0"/>
        <v>22635</v>
      </c>
      <c r="H23" s="665">
        <f>'[3]int.kiadások RM I'!J23</f>
        <v>3041</v>
      </c>
      <c r="I23" s="665">
        <f>'[3]int.kiadások RM II maradvány'!I23</f>
        <v>275</v>
      </c>
      <c r="J23" s="665">
        <f t="shared" si="3"/>
        <v>3316</v>
      </c>
      <c r="K23" s="667" t="s">
        <v>621</v>
      </c>
      <c r="L23" s="665">
        <f>'[3]int.kiadások RM I'!N23</f>
        <v>0</v>
      </c>
      <c r="M23" s="665"/>
      <c r="N23" s="665">
        <f t="shared" si="4"/>
        <v>0</v>
      </c>
      <c r="O23" s="665">
        <f>'[3]int.kiadások RM I'!Q23</f>
        <v>0</v>
      </c>
      <c r="P23" s="665"/>
      <c r="Q23" s="665">
        <f t="shared" si="5"/>
        <v>0</v>
      </c>
      <c r="R23" s="666">
        <f t="shared" si="6"/>
        <v>192403</v>
      </c>
      <c r="S23" s="666">
        <f t="shared" si="6"/>
        <v>5634</v>
      </c>
      <c r="T23" s="666">
        <f t="shared" si="6"/>
        <v>198037</v>
      </c>
      <c r="U23" s="667" t="s">
        <v>621</v>
      </c>
      <c r="V23" s="665">
        <f>'[3]int.kiadások RM I'!X23</f>
        <v>0</v>
      </c>
      <c r="W23" s="665">
        <f>'[3]int.kiadások RM II maradvány'!W23</f>
        <v>0</v>
      </c>
      <c r="X23" s="665">
        <f t="shared" si="7"/>
        <v>0</v>
      </c>
      <c r="Y23" s="665">
        <f>'[3]int.kiadások RM I'!AA23</f>
        <v>0</v>
      </c>
      <c r="Z23" s="665">
        <f>'[3]int.kiadások RM II maradvány'!Z23</f>
        <v>0</v>
      </c>
      <c r="AA23" s="665">
        <f t="shared" si="8"/>
        <v>0</v>
      </c>
      <c r="AB23" s="665">
        <f>'[3]int.kiadások RM I'!AD23</f>
        <v>0</v>
      </c>
      <c r="AC23" s="665"/>
      <c r="AD23" s="665">
        <f t="shared" si="9"/>
        <v>0</v>
      </c>
      <c r="AE23" s="666">
        <f t="shared" si="10"/>
        <v>0</v>
      </c>
      <c r="AF23" s="666">
        <f t="shared" si="10"/>
        <v>0</v>
      </c>
      <c r="AG23" s="666">
        <f t="shared" si="10"/>
        <v>0</v>
      </c>
      <c r="AH23" s="666">
        <f t="shared" si="1"/>
        <v>192403</v>
      </c>
      <c r="AI23" s="666">
        <f t="shared" si="1"/>
        <v>5634</v>
      </c>
      <c r="AJ23" s="666">
        <f t="shared" si="1"/>
        <v>198037</v>
      </c>
    </row>
    <row r="24" spans="1:36" s="716" customFormat="1" ht="48.75" customHeight="1" x14ac:dyDescent="0.7">
      <c r="A24" s="667" t="s">
        <v>622</v>
      </c>
      <c r="B24" s="665">
        <f>'[3]int.kiadások RM I'!D24</f>
        <v>229871</v>
      </c>
      <c r="C24" s="665">
        <f>'[3]int.kiadások RM II maradvány'!C24</f>
        <v>9688</v>
      </c>
      <c r="D24" s="665">
        <f t="shared" si="2"/>
        <v>239559</v>
      </c>
      <c r="E24" s="665">
        <f>'[3]int.kiadások RM I'!G24</f>
        <v>34142</v>
      </c>
      <c r="F24" s="665">
        <f>'[3]int.kiadások RM II maradvány'!F24</f>
        <v>1237</v>
      </c>
      <c r="G24" s="665">
        <f t="shared" si="0"/>
        <v>35379</v>
      </c>
      <c r="H24" s="665">
        <f>'[3]int.kiadások RM I'!J24</f>
        <v>3715</v>
      </c>
      <c r="I24" s="665">
        <f>'[3]int.kiadások RM II maradvány'!I24</f>
        <v>292</v>
      </c>
      <c r="J24" s="665">
        <f t="shared" si="3"/>
        <v>4007</v>
      </c>
      <c r="K24" s="667" t="s">
        <v>622</v>
      </c>
      <c r="L24" s="665">
        <f>'[3]int.kiadások RM I'!N24</f>
        <v>0</v>
      </c>
      <c r="M24" s="665"/>
      <c r="N24" s="665">
        <f t="shared" si="4"/>
        <v>0</v>
      </c>
      <c r="O24" s="665">
        <f>'[3]int.kiadások RM I'!Q24</f>
        <v>0</v>
      </c>
      <c r="P24" s="665"/>
      <c r="Q24" s="665">
        <f t="shared" si="5"/>
        <v>0</v>
      </c>
      <c r="R24" s="666">
        <f t="shared" si="6"/>
        <v>267728</v>
      </c>
      <c r="S24" s="666">
        <f t="shared" si="6"/>
        <v>11217</v>
      </c>
      <c r="T24" s="666">
        <f t="shared" si="6"/>
        <v>278945</v>
      </c>
      <c r="U24" s="667" t="s">
        <v>622</v>
      </c>
      <c r="V24" s="665">
        <f>'[3]int.kiadások RM I'!X24</f>
        <v>0</v>
      </c>
      <c r="W24" s="665">
        <f>'[3]int.kiadások RM II maradvány'!W24</f>
        <v>0</v>
      </c>
      <c r="X24" s="665">
        <f t="shared" si="7"/>
        <v>0</v>
      </c>
      <c r="Y24" s="665">
        <f>'[3]int.kiadások RM I'!AA24</f>
        <v>0</v>
      </c>
      <c r="Z24" s="665">
        <f>'[3]int.kiadások RM II maradvány'!Z24</f>
        <v>0</v>
      </c>
      <c r="AA24" s="665">
        <f t="shared" si="8"/>
        <v>0</v>
      </c>
      <c r="AB24" s="665">
        <f>'[3]int.kiadások RM I'!AD24</f>
        <v>0</v>
      </c>
      <c r="AC24" s="665"/>
      <c r="AD24" s="665">
        <f t="shared" si="9"/>
        <v>0</v>
      </c>
      <c r="AE24" s="666">
        <f t="shared" si="10"/>
        <v>0</v>
      </c>
      <c r="AF24" s="666">
        <f t="shared" si="10"/>
        <v>0</v>
      </c>
      <c r="AG24" s="666">
        <f t="shared" si="10"/>
        <v>0</v>
      </c>
      <c r="AH24" s="666">
        <f t="shared" si="1"/>
        <v>267728</v>
      </c>
      <c r="AI24" s="666">
        <f t="shared" si="1"/>
        <v>11217</v>
      </c>
      <c r="AJ24" s="666">
        <f t="shared" si="1"/>
        <v>278945</v>
      </c>
    </row>
    <row r="25" spans="1:36" s="716" customFormat="1" ht="48.75" customHeight="1" x14ac:dyDescent="0.7">
      <c r="A25" s="667" t="s">
        <v>623</v>
      </c>
      <c r="B25" s="665">
        <f>'[3]int.kiadások RM I'!D25</f>
        <v>169874</v>
      </c>
      <c r="C25" s="665">
        <f>'[3]int.kiadások RM II maradvány'!C25</f>
        <v>5322</v>
      </c>
      <c r="D25" s="665">
        <f t="shared" si="2"/>
        <v>175196</v>
      </c>
      <c r="E25" s="665">
        <f>'[3]int.kiadások RM I'!G25</f>
        <v>22130</v>
      </c>
      <c r="F25" s="665">
        <f>'[3]int.kiadások RM II maradvány'!F25</f>
        <v>621</v>
      </c>
      <c r="G25" s="665">
        <f t="shared" si="0"/>
        <v>22751</v>
      </c>
      <c r="H25" s="665">
        <f>'[3]int.kiadások RM I'!J25</f>
        <v>2983</v>
      </c>
      <c r="I25" s="665">
        <f>'[3]int.kiadások RM II maradvány'!I25-1000</f>
        <v>1216</v>
      </c>
      <c r="J25" s="665">
        <f t="shared" si="3"/>
        <v>4199</v>
      </c>
      <c r="K25" s="667" t="s">
        <v>623</v>
      </c>
      <c r="L25" s="665">
        <f>'[3]int.kiadások RM I'!N25</f>
        <v>0</v>
      </c>
      <c r="M25" s="665"/>
      <c r="N25" s="665">
        <f t="shared" si="4"/>
        <v>0</v>
      </c>
      <c r="O25" s="665">
        <f>'[3]int.kiadások RM I'!Q25</f>
        <v>0</v>
      </c>
      <c r="P25" s="665"/>
      <c r="Q25" s="665">
        <f t="shared" si="5"/>
        <v>0</v>
      </c>
      <c r="R25" s="666">
        <f t="shared" si="6"/>
        <v>194987</v>
      </c>
      <c r="S25" s="666">
        <f t="shared" si="6"/>
        <v>7159</v>
      </c>
      <c r="T25" s="666">
        <f t="shared" si="6"/>
        <v>202146</v>
      </c>
      <c r="U25" s="667" t="s">
        <v>623</v>
      </c>
      <c r="V25" s="665">
        <f>'[3]int.kiadások RM I'!X25</f>
        <v>0</v>
      </c>
      <c r="W25" s="665">
        <f>'[3]int.kiadások RM II maradvány'!W25</f>
        <v>4092</v>
      </c>
      <c r="X25" s="665">
        <f t="shared" si="7"/>
        <v>4092</v>
      </c>
      <c r="Y25" s="665">
        <f>'[3]int.kiadások RM I'!AA25</f>
        <v>0</v>
      </c>
      <c r="Z25" s="665">
        <f>'[3]int.kiadások RM II maradvány'!Z25</f>
        <v>0</v>
      </c>
      <c r="AA25" s="665">
        <f t="shared" si="8"/>
        <v>0</v>
      </c>
      <c r="AB25" s="665">
        <f>'[3]int.kiadások RM I'!AD25</f>
        <v>0</v>
      </c>
      <c r="AC25" s="665"/>
      <c r="AD25" s="665">
        <f t="shared" si="9"/>
        <v>0</v>
      </c>
      <c r="AE25" s="666">
        <f t="shared" si="10"/>
        <v>0</v>
      </c>
      <c r="AF25" s="666">
        <f t="shared" si="10"/>
        <v>4092</v>
      </c>
      <c r="AG25" s="666">
        <f t="shared" si="10"/>
        <v>4092</v>
      </c>
      <c r="AH25" s="666">
        <f t="shared" si="1"/>
        <v>194987</v>
      </c>
      <c r="AI25" s="666">
        <f t="shared" si="1"/>
        <v>11251</v>
      </c>
      <c r="AJ25" s="666">
        <f t="shared" si="1"/>
        <v>206238</v>
      </c>
    </row>
    <row r="26" spans="1:36" s="716" customFormat="1" ht="48.75" customHeight="1" x14ac:dyDescent="0.7">
      <c r="A26" s="664" t="s">
        <v>624</v>
      </c>
      <c r="B26" s="665">
        <f>'[3]int.kiadások RM I'!D26</f>
        <v>128751</v>
      </c>
      <c r="C26" s="665">
        <f>'[3]int.kiadások RM II maradvány'!C26</f>
        <v>2374</v>
      </c>
      <c r="D26" s="665">
        <f t="shared" si="2"/>
        <v>131125</v>
      </c>
      <c r="E26" s="665">
        <f>'[3]int.kiadások RM I'!G26</f>
        <v>16642</v>
      </c>
      <c r="F26" s="665">
        <f>'[3]int.kiadások RM II maradvány'!F26</f>
        <v>301</v>
      </c>
      <c r="G26" s="665">
        <f t="shared" si="0"/>
        <v>16943</v>
      </c>
      <c r="H26" s="665">
        <f>'[3]int.kiadások RM I'!J26</f>
        <v>3340</v>
      </c>
      <c r="I26" s="665">
        <f>'[3]int.kiadások RM II maradvány'!I26+150</f>
        <v>1805</v>
      </c>
      <c r="J26" s="665">
        <f t="shared" si="3"/>
        <v>5145</v>
      </c>
      <c r="K26" s="664" t="s">
        <v>624</v>
      </c>
      <c r="L26" s="665">
        <f>'[3]int.kiadások RM I'!N26</f>
        <v>0</v>
      </c>
      <c r="M26" s="665"/>
      <c r="N26" s="665">
        <f t="shared" si="4"/>
        <v>0</v>
      </c>
      <c r="O26" s="665">
        <f>'[3]int.kiadások RM I'!Q26</f>
        <v>0</v>
      </c>
      <c r="P26" s="665"/>
      <c r="Q26" s="665">
        <f t="shared" si="5"/>
        <v>0</v>
      </c>
      <c r="R26" s="666">
        <f t="shared" si="6"/>
        <v>148733</v>
      </c>
      <c r="S26" s="666">
        <f t="shared" si="6"/>
        <v>4480</v>
      </c>
      <c r="T26" s="666">
        <f t="shared" si="6"/>
        <v>153213</v>
      </c>
      <c r="U26" s="664" t="s">
        <v>624</v>
      </c>
      <c r="V26" s="665">
        <f>'[3]int.kiadások RM I'!X26</f>
        <v>0</v>
      </c>
      <c r="W26" s="665">
        <f>'[3]int.kiadások RM II maradvány'!W26+13</f>
        <v>2496</v>
      </c>
      <c r="X26" s="665">
        <f t="shared" si="7"/>
        <v>2496</v>
      </c>
      <c r="Y26" s="665">
        <f>'[3]int.kiadások RM I'!AA26</f>
        <v>0</v>
      </c>
      <c r="Z26" s="665">
        <f>'[3]int.kiadások RM II maradvány'!Z26</f>
        <v>0</v>
      </c>
      <c r="AA26" s="665">
        <f t="shared" si="8"/>
        <v>0</v>
      </c>
      <c r="AB26" s="665">
        <f>'[3]int.kiadások RM I'!AD26</f>
        <v>0</v>
      </c>
      <c r="AC26" s="665"/>
      <c r="AD26" s="665">
        <f t="shared" si="9"/>
        <v>0</v>
      </c>
      <c r="AE26" s="666">
        <f t="shared" si="10"/>
        <v>0</v>
      </c>
      <c r="AF26" s="666">
        <f t="shared" si="10"/>
        <v>2496</v>
      </c>
      <c r="AG26" s="666">
        <f t="shared" si="10"/>
        <v>2496</v>
      </c>
      <c r="AH26" s="666">
        <f t="shared" si="1"/>
        <v>148733</v>
      </c>
      <c r="AI26" s="666">
        <f t="shared" si="1"/>
        <v>6976</v>
      </c>
      <c r="AJ26" s="666">
        <f t="shared" si="1"/>
        <v>155709</v>
      </c>
    </row>
    <row r="27" spans="1:36" s="716" customFormat="1" ht="48.75" customHeight="1" thickBot="1" x14ac:dyDescent="0.75">
      <c r="A27" s="668" t="s">
        <v>625</v>
      </c>
      <c r="B27" s="665">
        <f>'[3]int.kiadások RM I'!D27</f>
        <v>103707</v>
      </c>
      <c r="C27" s="665">
        <f>'[3]int.kiadások RM II maradvány'!C27</f>
        <v>2504</v>
      </c>
      <c r="D27" s="669">
        <f>SUM(B27:C27)</f>
        <v>106211</v>
      </c>
      <c r="E27" s="665">
        <f>'[3]int.kiadások RM I'!G27</f>
        <v>13530</v>
      </c>
      <c r="F27" s="669">
        <f>'[3]int.kiadások RM II maradvány'!F27</f>
        <v>240</v>
      </c>
      <c r="G27" s="669">
        <f t="shared" si="0"/>
        <v>13770</v>
      </c>
      <c r="H27" s="665">
        <f>'[3]int.kiadások RM I'!J27</f>
        <v>3217</v>
      </c>
      <c r="I27" s="669">
        <f>'[3]int.kiadások RM II maradvány'!I27</f>
        <v>512</v>
      </c>
      <c r="J27" s="669">
        <f t="shared" si="3"/>
        <v>3729</v>
      </c>
      <c r="K27" s="668" t="s">
        <v>625</v>
      </c>
      <c r="L27" s="669">
        <f>'[3]int.kiadások RM I'!N27</f>
        <v>0</v>
      </c>
      <c r="M27" s="669"/>
      <c r="N27" s="669">
        <f t="shared" si="4"/>
        <v>0</v>
      </c>
      <c r="O27" s="669">
        <f>'[3]int.kiadások RM I'!Q27</f>
        <v>0</v>
      </c>
      <c r="P27" s="669"/>
      <c r="Q27" s="669">
        <f t="shared" si="5"/>
        <v>0</v>
      </c>
      <c r="R27" s="666">
        <f t="shared" si="6"/>
        <v>120454</v>
      </c>
      <c r="S27" s="666">
        <f t="shared" si="6"/>
        <v>3256</v>
      </c>
      <c r="T27" s="666">
        <f t="shared" si="6"/>
        <v>123710</v>
      </c>
      <c r="U27" s="668" t="s">
        <v>625</v>
      </c>
      <c r="V27" s="669">
        <f>'[3]int.kiadások RM I'!X27</f>
        <v>0</v>
      </c>
      <c r="W27" s="669">
        <f>'[3]int.kiadások RM II maradvány'!W27</f>
        <v>0</v>
      </c>
      <c r="X27" s="665">
        <f t="shared" si="7"/>
        <v>0</v>
      </c>
      <c r="Y27" s="669">
        <f>'[3]int.kiadások RM I'!AA27</f>
        <v>0</v>
      </c>
      <c r="Z27" s="669">
        <f>'[3]int.kiadások RM II maradvány'!Z27</f>
        <v>0</v>
      </c>
      <c r="AA27" s="669">
        <f t="shared" si="8"/>
        <v>0</v>
      </c>
      <c r="AB27" s="669">
        <f>'[3]int.kiadások RM I'!AD27</f>
        <v>0</v>
      </c>
      <c r="AC27" s="669"/>
      <c r="AD27" s="669">
        <f t="shared" si="9"/>
        <v>0</v>
      </c>
      <c r="AE27" s="666">
        <f t="shared" si="10"/>
        <v>0</v>
      </c>
      <c r="AF27" s="666">
        <f t="shared" si="10"/>
        <v>0</v>
      </c>
      <c r="AG27" s="670">
        <f t="shared" si="10"/>
        <v>0</v>
      </c>
      <c r="AH27" s="666">
        <f t="shared" si="1"/>
        <v>120454</v>
      </c>
      <c r="AI27" s="666">
        <f t="shared" si="1"/>
        <v>3256</v>
      </c>
      <c r="AJ27" s="666">
        <f t="shared" si="1"/>
        <v>123710</v>
      </c>
    </row>
    <row r="28" spans="1:36" s="716" customFormat="1" ht="57.75" customHeight="1" thickBot="1" x14ac:dyDescent="0.75">
      <c r="A28" s="671" t="s">
        <v>626</v>
      </c>
      <c r="B28" s="672">
        <f t="shared" ref="B28:J28" si="11">SUM(B10:B27)</f>
        <v>3055499</v>
      </c>
      <c r="C28" s="672">
        <f>SUM(C10:C27)</f>
        <v>80276</v>
      </c>
      <c r="D28" s="672">
        <f t="shared" si="11"/>
        <v>3135775</v>
      </c>
      <c r="E28" s="672">
        <f t="shared" si="11"/>
        <v>420992</v>
      </c>
      <c r="F28" s="672">
        <f t="shared" si="11"/>
        <v>9717</v>
      </c>
      <c r="G28" s="672">
        <f t="shared" si="11"/>
        <v>430709</v>
      </c>
      <c r="H28" s="672">
        <f t="shared" si="11"/>
        <v>64409</v>
      </c>
      <c r="I28" s="672">
        <f t="shared" si="11"/>
        <v>11993</v>
      </c>
      <c r="J28" s="672">
        <f t="shared" si="11"/>
        <v>76402</v>
      </c>
      <c r="K28" s="671" t="s">
        <v>626</v>
      </c>
      <c r="L28" s="672">
        <f t="shared" ref="L28:T28" si="12">SUM(L10:L27)</f>
        <v>0</v>
      </c>
      <c r="M28" s="672">
        <f t="shared" si="12"/>
        <v>0</v>
      </c>
      <c r="N28" s="672">
        <f t="shared" si="12"/>
        <v>0</v>
      </c>
      <c r="O28" s="672">
        <f t="shared" si="12"/>
        <v>0</v>
      </c>
      <c r="P28" s="672">
        <f t="shared" si="12"/>
        <v>0</v>
      </c>
      <c r="Q28" s="672">
        <f t="shared" si="12"/>
        <v>0</v>
      </c>
      <c r="R28" s="672">
        <f t="shared" si="12"/>
        <v>3540900</v>
      </c>
      <c r="S28" s="672">
        <f t="shared" si="12"/>
        <v>101986</v>
      </c>
      <c r="T28" s="672">
        <f t="shared" si="12"/>
        <v>3642886</v>
      </c>
      <c r="U28" s="671" t="s">
        <v>626</v>
      </c>
      <c r="V28" s="672">
        <f t="shared" ref="V28:AG28" si="13">SUM(V10:V27)</f>
        <v>0</v>
      </c>
      <c r="W28" s="672">
        <f t="shared" si="13"/>
        <v>10641</v>
      </c>
      <c r="X28" s="672">
        <f t="shared" si="13"/>
        <v>10641</v>
      </c>
      <c r="Y28" s="672">
        <f t="shared" si="13"/>
        <v>0</v>
      </c>
      <c r="Z28" s="672">
        <f t="shared" si="13"/>
        <v>0</v>
      </c>
      <c r="AA28" s="672">
        <f t="shared" si="13"/>
        <v>0</v>
      </c>
      <c r="AB28" s="672">
        <f>SUM(AB10:AB27)</f>
        <v>0</v>
      </c>
      <c r="AC28" s="672">
        <f>SUM(AC10:AC27)</f>
        <v>0</v>
      </c>
      <c r="AD28" s="672">
        <f>SUM(AD10:AD27)</f>
        <v>0</v>
      </c>
      <c r="AE28" s="672">
        <f t="shared" si="13"/>
        <v>0</v>
      </c>
      <c r="AF28" s="672">
        <f t="shared" si="13"/>
        <v>10641</v>
      </c>
      <c r="AG28" s="684">
        <f t="shared" si="13"/>
        <v>10641</v>
      </c>
      <c r="AH28" s="672">
        <f>SUM(AH10:AH27)</f>
        <v>3540900</v>
      </c>
      <c r="AI28" s="672">
        <f>SUM(AI10:AI27)</f>
        <v>112627</v>
      </c>
      <c r="AJ28" s="672">
        <f>SUM(AJ10:AJ27)</f>
        <v>3653527</v>
      </c>
    </row>
    <row r="29" spans="1:36" s="716" customFormat="1" ht="63.75" customHeight="1" thickBot="1" x14ac:dyDescent="0.75">
      <c r="A29" s="674" t="s">
        <v>627</v>
      </c>
      <c r="B29" s="665">
        <f>'[3]int.kiadások RM I'!D29</f>
        <v>321864</v>
      </c>
      <c r="C29" s="675">
        <f>'[3]int.kiadások RM II maradvány'!C29</f>
        <v>19257</v>
      </c>
      <c r="D29" s="665">
        <f t="shared" si="2"/>
        <v>341121</v>
      </c>
      <c r="E29" s="665">
        <f>'[3]int.kiadások RM I'!G29</f>
        <v>47963</v>
      </c>
      <c r="F29" s="675">
        <f>'[3]int.kiadások RM II maradvány'!F29</f>
        <v>2488</v>
      </c>
      <c r="G29" s="675">
        <f>SUM(E29:F29)</f>
        <v>50451</v>
      </c>
      <c r="H29" s="665">
        <f>'[3]int.kiadások RM I'!J29</f>
        <v>2125442</v>
      </c>
      <c r="I29" s="675">
        <f>'[3]int.kiadások RM II maradvány'!I29-889+10000</f>
        <v>33726</v>
      </c>
      <c r="J29" s="675">
        <f>SUM(H29:I29)</f>
        <v>2159168</v>
      </c>
      <c r="K29" s="674" t="s">
        <v>627</v>
      </c>
      <c r="L29" s="675">
        <f>'[3]int.kiadások RM I'!N29</f>
        <v>0</v>
      </c>
      <c r="M29" s="675"/>
      <c r="N29" s="675">
        <f>SUM(L29:M29)</f>
        <v>0</v>
      </c>
      <c r="O29" s="675">
        <f>'[3]int.kiadások RM I'!Q29</f>
        <v>0</v>
      </c>
      <c r="P29" s="675"/>
      <c r="Q29" s="675">
        <f>SUM(O29:P29)</f>
        <v>0</v>
      </c>
      <c r="R29" s="666">
        <f>B29+E29+H29+L29+O29</f>
        <v>2495269</v>
      </c>
      <c r="S29" s="666">
        <f>C29+F29+I29+M29+P29</f>
        <v>55471</v>
      </c>
      <c r="T29" s="666">
        <f>D29+G29+J29+N29+Q29</f>
        <v>2550740</v>
      </c>
      <c r="U29" s="674" t="s">
        <v>627</v>
      </c>
      <c r="V29" s="675">
        <f>'[3]int.kiadások RM I'!X29</f>
        <v>0</v>
      </c>
      <c r="W29" s="675">
        <f>'[3]int.kiadások RM II maradvány'!W29-1375</f>
        <v>19196</v>
      </c>
      <c r="X29" s="675">
        <f t="shared" si="7"/>
        <v>19196</v>
      </c>
      <c r="Y29" s="675">
        <f>'[3]int.kiadások RM I'!AA29</f>
        <v>0</v>
      </c>
      <c r="Z29" s="675">
        <f>'[3]int.kiadások RM II maradvány'!Z29+3347</f>
        <v>31453</v>
      </c>
      <c r="AA29" s="675">
        <f>SUM(Y29:Z29)</f>
        <v>31453</v>
      </c>
      <c r="AB29" s="675">
        <f>'[3]int.kiadások RM I'!AD29</f>
        <v>0</v>
      </c>
      <c r="AC29" s="675"/>
      <c r="AD29" s="675">
        <f>SUM(AB29:AC29)</f>
        <v>0</v>
      </c>
      <c r="AE29" s="666">
        <f>V29+Y29+AB29</f>
        <v>0</v>
      </c>
      <c r="AF29" s="666">
        <f>W29+Z29+AC29</f>
        <v>50649</v>
      </c>
      <c r="AG29" s="666">
        <f>X29+AA29+AD29</f>
        <v>50649</v>
      </c>
      <c r="AH29" s="666">
        <f t="shared" si="1"/>
        <v>2495269</v>
      </c>
      <c r="AI29" s="666">
        <f>S29+AF29</f>
        <v>106120</v>
      </c>
      <c r="AJ29" s="666">
        <f>T29+AG29</f>
        <v>2601389</v>
      </c>
    </row>
    <row r="30" spans="1:36" s="716" customFormat="1" ht="67.5" customHeight="1" thickBot="1" x14ac:dyDescent="0.75">
      <c r="A30" s="688" t="s">
        <v>628</v>
      </c>
      <c r="B30" s="672">
        <f>SUM(B28:B29)</f>
        <v>3377363</v>
      </c>
      <c r="C30" s="672">
        <f>SUM(C28:C29)</f>
        <v>99533</v>
      </c>
      <c r="D30" s="672">
        <f>SUM(D28:D29)</f>
        <v>3476896</v>
      </c>
      <c r="E30" s="672">
        <f t="shared" ref="E30:J30" si="14">SUM(E28:E29)</f>
        <v>468955</v>
      </c>
      <c r="F30" s="672">
        <f t="shared" si="14"/>
        <v>12205</v>
      </c>
      <c r="G30" s="672">
        <f t="shared" si="14"/>
        <v>481160</v>
      </c>
      <c r="H30" s="672">
        <f t="shared" si="14"/>
        <v>2189851</v>
      </c>
      <c r="I30" s="672">
        <f t="shared" si="14"/>
        <v>45719</v>
      </c>
      <c r="J30" s="672">
        <f t="shared" si="14"/>
        <v>2235570</v>
      </c>
      <c r="K30" s="677" t="s">
        <v>628</v>
      </c>
      <c r="L30" s="672">
        <f t="shared" ref="L30:T30" si="15">SUM(L28:L29)</f>
        <v>0</v>
      </c>
      <c r="M30" s="672">
        <f t="shared" si="15"/>
        <v>0</v>
      </c>
      <c r="N30" s="672">
        <f t="shared" si="15"/>
        <v>0</v>
      </c>
      <c r="O30" s="672">
        <f t="shared" si="15"/>
        <v>0</v>
      </c>
      <c r="P30" s="672">
        <f t="shared" si="15"/>
        <v>0</v>
      </c>
      <c r="Q30" s="672">
        <f t="shared" si="15"/>
        <v>0</v>
      </c>
      <c r="R30" s="672">
        <f t="shared" si="15"/>
        <v>6036169</v>
      </c>
      <c r="S30" s="672">
        <f t="shared" si="15"/>
        <v>157457</v>
      </c>
      <c r="T30" s="672">
        <f t="shared" si="15"/>
        <v>6193626</v>
      </c>
      <c r="U30" s="677" t="s">
        <v>628</v>
      </c>
      <c r="V30" s="672">
        <f t="shared" ref="V30:AA30" si="16">SUM(V28:V29)</f>
        <v>0</v>
      </c>
      <c r="W30" s="672">
        <f t="shared" si="16"/>
        <v>29837</v>
      </c>
      <c r="X30" s="672">
        <f t="shared" si="16"/>
        <v>29837</v>
      </c>
      <c r="Y30" s="672">
        <f t="shared" si="16"/>
        <v>0</v>
      </c>
      <c r="Z30" s="672">
        <f t="shared" si="16"/>
        <v>31453</v>
      </c>
      <c r="AA30" s="672">
        <f t="shared" si="16"/>
        <v>31453</v>
      </c>
      <c r="AB30" s="672">
        <f>SUM(AB28:AB29)</f>
        <v>0</v>
      </c>
      <c r="AC30" s="672">
        <f>SUM(AC28:AC29)</f>
        <v>0</v>
      </c>
      <c r="AD30" s="672">
        <f>SUM(AD28:AD29)</f>
        <v>0</v>
      </c>
      <c r="AE30" s="672">
        <f t="shared" ref="AE30:AJ30" si="17">SUM(AE28:AE29)</f>
        <v>0</v>
      </c>
      <c r="AF30" s="672">
        <f t="shared" si="17"/>
        <v>61290</v>
      </c>
      <c r="AG30" s="672">
        <f t="shared" si="17"/>
        <v>61290</v>
      </c>
      <c r="AH30" s="672">
        <f t="shared" si="17"/>
        <v>6036169</v>
      </c>
      <c r="AI30" s="672">
        <f t="shared" si="17"/>
        <v>218747</v>
      </c>
      <c r="AJ30" s="672">
        <f t="shared" si="17"/>
        <v>6254916</v>
      </c>
    </row>
    <row r="31" spans="1:36" s="716" customFormat="1" ht="48.75" customHeight="1" x14ac:dyDescent="0.7">
      <c r="A31" s="713" t="s">
        <v>629</v>
      </c>
      <c r="B31" s="678"/>
      <c r="C31" s="678"/>
      <c r="D31" s="678"/>
      <c r="E31" s="678"/>
      <c r="F31" s="678"/>
      <c r="G31" s="678"/>
      <c r="H31" s="678"/>
      <c r="I31" s="678"/>
      <c r="J31" s="678"/>
      <c r="K31" s="679" t="s">
        <v>629</v>
      </c>
      <c r="L31" s="678"/>
      <c r="M31" s="678"/>
      <c r="N31" s="678"/>
      <c r="O31" s="678"/>
      <c r="P31" s="678"/>
      <c r="Q31" s="678"/>
      <c r="R31" s="678"/>
      <c r="S31" s="678"/>
      <c r="T31" s="678"/>
      <c r="U31" s="679" t="s">
        <v>629</v>
      </c>
      <c r="V31" s="678"/>
      <c r="W31" s="678"/>
      <c r="X31" s="678"/>
      <c r="Y31" s="678"/>
      <c r="Z31" s="678"/>
      <c r="AA31" s="678"/>
      <c r="AB31" s="678"/>
      <c r="AC31" s="678"/>
      <c r="AD31" s="678"/>
      <c r="AE31" s="678"/>
      <c r="AF31" s="678"/>
      <c r="AG31" s="678"/>
      <c r="AH31" s="678"/>
      <c r="AI31" s="678"/>
      <c r="AJ31" s="678"/>
    </row>
    <row r="32" spans="1:36" s="716" customFormat="1" ht="48.75" customHeight="1" x14ac:dyDescent="0.7">
      <c r="A32" s="682" t="s">
        <v>630</v>
      </c>
      <c r="B32" s="678"/>
      <c r="C32" s="678"/>
      <c r="D32" s="678"/>
      <c r="E32" s="678"/>
      <c r="F32" s="678"/>
      <c r="G32" s="678"/>
      <c r="H32" s="678"/>
      <c r="I32" s="678"/>
      <c r="J32" s="678"/>
      <c r="K32" s="682" t="s">
        <v>630</v>
      </c>
      <c r="L32" s="678"/>
      <c r="M32" s="678"/>
      <c r="N32" s="678"/>
      <c r="O32" s="678"/>
      <c r="P32" s="678"/>
      <c r="Q32" s="678"/>
      <c r="R32" s="678"/>
      <c r="S32" s="678"/>
      <c r="T32" s="678"/>
      <c r="U32" s="682" t="s">
        <v>630</v>
      </c>
      <c r="V32" s="678"/>
      <c r="W32" s="678"/>
      <c r="X32" s="678"/>
      <c r="Y32" s="678"/>
      <c r="Z32" s="678"/>
      <c r="AA32" s="678"/>
      <c r="AB32" s="678"/>
      <c r="AC32" s="678"/>
      <c r="AD32" s="678"/>
      <c r="AE32" s="678"/>
      <c r="AF32" s="678"/>
      <c r="AG32" s="678"/>
      <c r="AH32" s="678"/>
      <c r="AI32" s="678"/>
      <c r="AJ32" s="678"/>
    </row>
    <row r="33" spans="1:124" s="716" customFormat="1" ht="48.75" customHeight="1" x14ac:dyDescent="0.7">
      <c r="A33" s="683" t="s">
        <v>98</v>
      </c>
      <c r="B33" s="665">
        <f>'[3]int.kiadások RM I'!D33</f>
        <v>122455</v>
      </c>
      <c r="C33" s="665">
        <f>'[3]int.kiadások RM II maradvány'!C33+25634</f>
        <v>33563</v>
      </c>
      <c r="D33" s="665">
        <f t="shared" si="2"/>
        <v>156018</v>
      </c>
      <c r="E33" s="665">
        <f>'[3]int.kiadások RM I'!G33</f>
        <v>15375</v>
      </c>
      <c r="F33" s="665">
        <f>'[3]int.kiadások RM II maradvány'!F33+2792</f>
        <v>4543</v>
      </c>
      <c r="G33" s="665">
        <f>SUM(E33:F33)</f>
        <v>19918</v>
      </c>
      <c r="H33" s="665">
        <f>'[3]int.kiadások RM I'!J33</f>
        <v>24696</v>
      </c>
      <c r="I33" s="665">
        <f>'[3]int.kiadások RM II maradvány'!I33+18555</f>
        <v>63155</v>
      </c>
      <c r="J33" s="665">
        <f>SUM(H33:I33)</f>
        <v>87851</v>
      </c>
      <c r="K33" s="664" t="s">
        <v>98</v>
      </c>
      <c r="L33" s="665">
        <f>'[3]int.kiadások RM I'!N33</f>
        <v>0</v>
      </c>
      <c r="M33" s="665"/>
      <c r="N33" s="665">
        <f>SUM(L33:M33)</f>
        <v>0</v>
      </c>
      <c r="O33" s="665">
        <f>'[3]int.kiadások RM I'!Q33</f>
        <v>0</v>
      </c>
      <c r="P33" s="665"/>
      <c r="Q33" s="665">
        <f>SUM(O33:P33)</f>
        <v>0</v>
      </c>
      <c r="R33" s="666">
        <f>B33+E33+H33+L33+O33</f>
        <v>162526</v>
      </c>
      <c r="S33" s="666">
        <f t="shared" ref="S33:T36" si="18">C33+F33+I33+M33+P33</f>
        <v>101261</v>
      </c>
      <c r="T33" s="666">
        <f t="shared" si="18"/>
        <v>263787</v>
      </c>
      <c r="U33" s="683" t="s">
        <v>98</v>
      </c>
      <c r="V33" s="665">
        <f>'[3]int.kiadások RM I'!X33</f>
        <v>0</v>
      </c>
      <c r="W33" s="665">
        <f>'[3]int.kiadások RM II maradvány'!W33+1000</f>
        <v>1001</v>
      </c>
      <c r="X33" s="665">
        <f>SUM(V33:W33)</f>
        <v>1001</v>
      </c>
      <c r="Y33" s="665">
        <f>'[3]int.kiadások RM I'!AA33</f>
        <v>0</v>
      </c>
      <c r="Z33" s="665">
        <f>'[3]int.kiadások RM II maradvány'!Z33</f>
        <v>0</v>
      </c>
      <c r="AA33" s="665">
        <f>SUM(Y33:Z33)</f>
        <v>0</v>
      </c>
      <c r="AB33" s="665">
        <f>'[3]int.kiadások RM I'!AD33</f>
        <v>0</v>
      </c>
      <c r="AC33" s="665"/>
      <c r="AD33" s="665">
        <f>SUM(AB33:AC33)</f>
        <v>0</v>
      </c>
      <c r="AE33" s="666">
        <f t="shared" ref="AE33:AG36" si="19">V33+Y33+AB33</f>
        <v>0</v>
      </c>
      <c r="AF33" s="666">
        <f t="shared" si="19"/>
        <v>1001</v>
      </c>
      <c r="AG33" s="666">
        <f t="shared" si="19"/>
        <v>1001</v>
      </c>
      <c r="AH33" s="666">
        <f>R33+AE33</f>
        <v>162526</v>
      </c>
      <c r="AI33" s="666">
        <f t="shared" ref="AI33:AJ36" si="20">S33+AF33</f>
        <v>102262</v>
      </c>
      <c r="AJ33" s="666">
        <f t="shared" si="20"/>
        <v>264788</v>
      </c>
    </row>
    <row r="34" spans="1:124" s="716" customFormat="1" ht="48.75" customHeight="1" x14ac:dyDescent="0.7">
      <c r="A34" s="667" t="s">
        <v>631</v>
      </c>
      <c r="B34" s="665">
        <f>'[3]int.kiadások RM I'!D34</f>
        <v>460669</v>
      </c>
      <c r="C34" s="685">
        <f>'[3]int.kiadások RM II maradvány'!C34+68784</f>
        <v>132157</v>
      </c>
      <c r="D34" s="685">
        <f t="shared" si="2"/>
        <v>592826</v>
      </c>
      <c r="E34" s="665">
        <f>'[3]int.kiadások RM I'!G34</f>
        <v>59222</v>
      </c>
      <c r="F34" s="685">
        <f>'[3]int.kiadások RM II maradvány'!F34+8942</f>
        <v>28887</v>
      </c>
      <c r="G34" s="685">
        <f>SUM(E34:F34)</f>
        <v>88109</v>
      </c>
      <c r="H34" s="665">
        <f>'[3]int.kiadások RM I'!J34</f>
        <v>61469</v>
      </c>
      <c r="I34" s="685">
        <f>'[3]int.kiadások RM II maradvány'!I34</f>
        <v>157738</v>
      </c>
      <c r="J34" s="685">
        <f>SUM(H34:I34)</f>
        <v>219207</v>
      </c>
      <c r="K34" s="667" t="s">
        <v>631</v>
      </c>
      <c r="L34" s="685">
        <f>'[3]int.kiadások RM I'!N34</f>
        <v>0</v>
      </c>
      <c r="M34" s="685"/>
      <c r="N34" s="685">
        <f>SUM(L34:M34)</f>
        <v>0</v>
      </c>
      <c r="O34" s="685">
        <f>'[3]int.kiadások RM I'!Q34</f>
        <v>0</v>
      </c>
      <c r="P34" s="685"/>
      <c r="Q34" s="685">
        <f>SUM(O34:P34)</f>
        <v>0</v>
      </c>
      <c r="R34" s="666">
        <f>B34+E34+H34+L34+O34</f>
        <v>581360</v>
      </c>
      <c r="S34" s="666">
        <f t="shared" si="18"/>
        <v>318782</v>
      </c>
      <c r="T34" s="666">
        <f t="shared" si="18"/>
        <v>900142</v>
      </c>
      <c r="U34" s="667" t="s">
        <v>631</v>
      </c>
      <c r="V34" s="685">
        <f>'[3]int.kiadások RM I'!X34</f>
        <v>0</v>
      </c>
      <c r="W34" s="685">
        <f>'[3]int.kiadások RM II maradvány'!W34</f>
        <v>2286</v>
      </c>
      <c r="X34" s="685">
        <f>SUM(V34:W34)</f>
        <v>2286</v>
      </c>
      <c r="Y34" s="665">
        <f>'[3]int.kiadások RM I'!AA34</f>
        <v>0</v>
      </c>
      <c r="Z34" s="685">
        <f>'[3]int.kiadások RM II maradvány'!Z34</f>
        <v>0</v>
      </c>
      <c r="AA34" s="685">
        <f>SUM(Y34:Z34)</f>
        <v>0</v>
      </c>
      <c r="AB34" s="685">
        <f>'[3]int.kiadások RM I'!AD34</f>
        <v>0</v>
      </c>
      <c r="AC34" s="685"/>
      <c r="AD34" s="685">
        <f>SUM(AB34:AC34)</f>
        <v>0</v>
      </c>
      <c r="AE34" s="666">
        <f t="shared" si="19"/>
        <v>0</v>
      </c>
      <c r="AF34" s="666">
        <f t="shared" si="19"/>
        <v>2286</v>
      </c>
      <c r="AG34" s="666">
        <f t="shared" si="19"/>
        <v>2286</v>
      </c>
      <c r="AH34" s="666">
        <f>R34+AE34</f>
        <v>581360</v>
      </c>
      <c r="AI34" s="666">
        <f t="shared" si="20"/>
        <v>321068</v>
      </c>
      <c r="AJ34" s="666">
        <f t="shared" si="20"/>
        <v>902428</v>
      </c>
    </row>
    <row r="35" spans="1:124" s="716" customFormat="1" ht="48.75" customHeight="1" x14ac:dyDescent="0.7">
      <c r="A35" s="667" t="s">
        <v>632</v>
      </c>
      <c r="B35" s="665">
        <f>'[3]int.kiadások RM I'!D35</f>
        <v>238213</v>
      </c>
      <c r="C35" s="685">
        <f>'[3]int.kiadások RM II maradvány'!C35+51533</f>
        <v>64242</v>
      </c>
      <c r="D35" s="685">
        <f t="shared" si="2"/>
        <v>302455</v>
      </c>
      <c r="E35" s="665">
        <f>'[3]int.kiadások RM I'!G35</f>
        <v>30795</v>
      </c>
      <c r="F35" s="685">
        <f>'[3]int.kiadások RM II maradvány'!F35+6467</f>
        <v>8368</v>
      </c>
      <c r="G35" s="685">
        <f>SUM(E35:F35)</f>
        <v>39163</v>
      </c>
      <c r="H35" s="665">
        <f>'[3]int.kiadások RM I'!J35</f>
        <v>55887</v>
      </c>
      <c r="I35" s="685">
        <f>'[3]int.kiadások RM II maradvány'!I35+110413</f>
        <v>124428</v>
      </c>
      <c r="J35" s="685">
        <f>SUM(H35:I35)</f>
        <v>180315</v>
      </c>
      <c r="K35" s="667" t="s">
        <v>632</v>
      </c>
      <c r="L35" s="685">
        <f>'[3]int.kiadások RM I'!N35</f>
        <v>0</v>
      </c>
      <c r="M35" s="685"/>
      <c r="N35" s="685">
        <f>SUM(L35:M35)</f>
        <v>0</v>
      </c>
      <c r="O35" s="685">
        <f>'[3]int.kiadások RM I'!Q35</f>
        <v>0</v>
      </c>
      <c r="P35" s="685"/>
      <c r="Q35" s="685">
        <f>SUM(O35:P35)</f>
        <v>0</v>
      </c>
      <c r="R35" s="666">
        <f>B35+E35+H35+L35+O35</f>
        <v>324895</v>
      </c>
      <c r="S35" s="666">
        <f t="shared" si="18"/>
        <v>197038</v>
      </c>
      <c r="T35" s="666">
        <f t="shared" si="18"/>
        <v>521933</v>
      </c>
      <c r="U35" s="667" t="s">
        <v>632</v>
      </c>
      <c r="V35" s="685">
        <f>'[3]int.kiadások RM I'!X35</f>
        <v>0</v>
      </c>
      <c r="W35" s="685">
        <f>'[3]int.kiadások RM II maradvány'!W35+12300</f>
        <v>12300</v>
      </c>
      <c r="X35" s="685">
        <f>SUM(V35:W35)</f>
        <v>12300</v>
      </c>
      <c r="Y35" s="665">
        <f>'[3]int.kiadások RM I'!AA35</f>
        <v>0</v>
      </c>
      <c r="Z35" s="685">
        <f>'[3]int.kiadások RM II maradvány'!Z35</f>
        <v>0</v>
      </c>
      <c r="AA35" s="685">
        <f>SUM(Y35:Z35)</f>
        <v>0</v>
      </c>
      <c r="AB35" s="685">
        <f>'[3]int.kiadások RM I'!AD35</f>
        <v>0</v>
      </c>
      <c r="AC35" s="685"/>
      <c r="AD35" s="685">
        <f>SUM(AB35:AC35)</f>
        <v>0</v>
      </c>
      <c r="AE35" s="666">
        <f t="shared" si="19"/>
        <v>0</v>
      </c>
      <c r="AF35" s="666">
        <f t="shared" si="19"/>
        <v>12300</v>
      </c>
      <c r="AG35" s="666">
        <f t="shared" si="19"/>
        <v>12300</v>
      </c>
      <c r="AH35" s="666">
        <f>R35+AE35</f>
        <v>324895</v>
      </c>
      <c r="AI35" s="666">
        <f t="shared" si="20"/>
        <v>209338</v>
      </c>
      <c r="AJ35" s="666">
        <f t="shared" si="20"/>
        <v>534233</v>
      </c>
    </row>
    <row r="36" spans="1:124" s="716" customFormat="1" ht="48.75" customHeight="1" thickBot="1" x14ac:dyDescent="0.75">
      <c r="A36" s="686" t="s">
        <v>458</v>
      </c>
      <c r="B36" s="665">
        <f>'[3]int.kiadások RM I'!D36</f>
        <v>509497</v>
      </c>
      <c r="C36" s="685">
        <f>'[3]int.kiadások RM II maradvány'!C36+2500+70850</f>
        <v>78596</v>
      </c>
      <c r="D36" s="685">
        <f t="shared" si="2"/>
        <v>588093</v>
      </c>
      <c r="E36" s="665">
        <f>'[3]int.kiadások RM I'!G36</f>
        <v>65554</v>
      </c>
      <c r="F36" s="685">
        <f>'[3]int.kiadások RM II maradvány'!F36+325+9210</f>
        <v>10217</v>
      </c>
      <c r="G36" s="685">
        <f>SUM(E36:F36)</f>
        <v>75771</v>
      </c>
      <c r="H36" s="665">
        <f>'[3]int.kiadások RM I'!J36</f>
        <v>181376</v>
      </c>
      <c r="I36" s="685">
        <f>'[3]int.kiadások RM II maradvány'!I36-30452</f>
        <v>87930</v>
      </c>
      <c r="J36" s="685">
        <f>SUM(H36:I36)</f>
        <v>269306</v>
      </c>
      <c r="K36" s="686" t="s">
        <v>458</v>
      </c>
      <c r="L36" s="685">
        <f>'[3]int.kiadások RM I'!N36</f>
        <v>0</v>
      </c>
      <c r="M36" s="685"/>
      <c r="N36" s="685">
        <f>SUM(L36:M36)</f>
        <v>0</v>
      </c>
      <c r="O36" s="685">
        <f>'[3]int.kiadások RM I'!Q36</f>
        <v>0</v>
      </c>
      <c r="P36" s="685"/>
      <c r="Q36" s="685">
        <f>SUM(O36:P36)</f>
        <v>0</v>
      </c>
      <c r="R36" s="666">
        <f>B36+E36+H36+L36+O36</f>
        <v>756427</v>
      </c>
      <c r="S36" s="666">
        <f t="shared" si="18"/>
        <v>176743</v>
      </c>
      <c r="T36" s="666">
        <f t="shared" si="18"/>
        <v>933170</v>
      </c>
      <c r="U36" s="686" t="s">
        <v>458</v>
      </c>
      <c r="V36" s="685">
        <f>'[3]int.kiadások RM I'!X36</f>
        <v>0</v>
      </c>
      <c r="W36" s="685">
        <f>'[3]int.kiadások RM II maradvány'!W36+41033</f>
        <v>46684</v>
      </c>
      <c r="X36" s="685">
        <f>SUM(V36:W36)</f>
        <v>46684</v>
      </c>
      <c r="Y36" s="665">
        <f>'[3]int.kiadások RM I'!AA36</f>
        <v>0</v>
      </c>
      <c r="Z36" s="685">
        <f>'[3]int.kiadások RM II maradvány'!Z36</f>
        <v>0</v>
      </c>
      <c r="AA36" s="685">
        <f>SUM(Y36:Z36)</f>
        <v>0</v>
      </c>
      <c r="AB36" s="685">
        <f>'[3]int.kiadások RM I'!AD36</f>
        <v>0</v>
      </c>
      <c r="AC36" s="685"/>
      <c r="AD36" s="685">
        <f>SUM(AB36:AC36)</f>
        <v>0</v>
      </c>
      <c r="AE36" s="666">
        <f t="shared" si="19"/>
        <v>0</v>
      </c>
      <c r="AF36" s="666">
        <f t="shared" si="19"/>
        <v>46684</v>
      </c>
      <c r="AG36" s="666">
        <f t="shared" si="19"/>
        <v>46684</v>
      </c>
      <c r="AH36" s="666">
        <f>R36+AE36</f>
        <v>756427</v>
      </c>
      <c r="AI36" s="666">
        <f t="shared" si="20"/>
        <v>223427</v>
      </c>
      <c r="AJ36" s="666">
        <f t="shared" si="20"/>
        <v>979854</v>
      </c>
    </row>
    <row r="37" spans="1:124" s="716" customFormat="1" ht="61.5" customHeight="1" thickBot="1" x14ac:dyDescent="0.75">
      <c r="A37" s="688" t="s">
        <v>633</v>
      </c>
      <c r="B37" s="672">
        <f t="shared" ref="B37:J37" si="21">SUM(B33:B36)</f>
        <v>1330834</v>
      </c>
      <c r="C37" s="672">
        <f t="shared" si="21"/>
        <v>308558</v>
      </c>
      <c r="D37" s="672">
        <f t="shared" si="21"/>
        <v>1639392</v>
      </c>
      <c r="E37" s="672">
        <f t="shared" si="21"/>
        <v>170946</v>
      </c>
      <c r="F37" s="672">
        <f t="shared" si="21"/>
        <v>52015</v>
      </c>
      <c r="G37" s="672">
        <f t="shared" si="21"/>
        <v>222961</v>
      </c>
      <c r="H37" s="672">
        <f t="shared" si="21"/>
        <v>323428</v>
      </c>
      <c r="I37" s="672">
        <f t="shared" si="21"/>
        <v>433251</v>
      </c>
      <c r="J37" s="672">
        <f t="shared" si="21"/>
        <v>756679</v>
      </c>
      <c r="K37" s="688" t="s">
        <v>633</v>
      </c>
      <c r="L37" s="672">
        <f t="shared" ref="L37:T37" si="22">SUM(L33:L36)</f>
        <v>0</v>
      </c>
      <c r="M37" s="672">
        <f t="shared" si="22"/>
        <v>0</v>
      </c>
      <c r="N37" s="672">
        <f t="shared" si="22"/>
        <v>0</v>
      </c>
      <c r="O37" s="672">
        <f t="shared" si="22"/>
        <v>0</v>
      </c>
      <c r="P37" s="672">
        <f t="shared" si="22"/>
        <v>0</v>
      </c>
      <c r="Q37" s="672">
        <f t="shared" si="22"/>
        <v>0</v>
      </c>
      <c r="R37" s="672">
        <f t="shared" si="22"/>
        <v>1825208</v>
      </c>
      <c r="S37" s="672">
        <f t="shared" si="22"/>
        <v>793824</v>
      </c>
      <c r="T37" s="672">
        <f t="shared" si="22"/>
        <v>2619032</v>
      </c>
      <c r="U37" s="688" t="s">
        <v>633</v>
      </c>
      <c r="V37" s="672">
        <f t="shared" ref="V37:AJ37" si="23">SUM(V33:V36)</f>
        <v>0</v>
      </c>
      <c r="W37" s="672">
        <f t="shared" si="23"/>
        <v>62271</v>
      </c>
      <c r="X37" s="672">
        <f t="shared" si="23"/>
        <v>62271</v>
      </c>
      <c r="Y37" s="672">
        <f t="shared" si="23"/>
        <v>0</v>
      </c>
      <c r="Z37" s="672">
        <f t="shared" si="23"/>
        <v>0</v>
      </c>
      <c r="AA37" s="672">
        <f t="shared" si="23"/>
        <v>0</v>
      </c>
      <c r="AB37" s="672">
        <f t="shared" si="23"/>
        <v>0</v>
      </c>
      <c r="AC37" s="672">
        <f t="shared" si="23"/>
        <v>0</v>
      </c>
      <c r="AD37" s="672">
        <f t="shared" si="23"/>
        <v>0</v>
      </c>
      <c r="AE37" s="672">
        <f t="shared" si="23"/>
        <v>0</v>
      </c>
      <c r="AF37" s="672">
        <f t="shared" si="23"/>
        <v>62271</v>
      </c>
      <c r="AG37" s="672">
        <f t="shared" si="23"/>
        <v>62271</v>
      </c>
      <c r="AH37" s="672">
        <f t="shared" si="23"/>
        <v>1825208</v>
      </c>
      <c r="AI37" s="672">
        <f t="shared" si="23"/>
        <v>856095</v>
      </c>
      <c r="AJ37" s="672">
        <f t="shared" si="23"/>
        <v>2681303</v>
      </c>
    </row>
    <row r="38" spans="1:124" s="716" customFormat="1" ht="48.75" customHeight="1" x14ac:dyDescent="0.7">
      <c r="A38" s="689" t="s">
        <v>634</v>
      </c>
      <c r="B38" s="662"/>
      <c r="C38" s="662"/>
      <c r="D38" s="662"/>
      <c r="E38" s="662"/>
      <c r="F38" s="662"/>
      <c r="G38" s="662"/>
      <c r="H38" s="662"/>
      <c r="I38" s="662"/>
      <c r="J38" s="662"/>
      <c r="K38" s="689" t="s">
        <v>647</v>
      </c>
      <c r="L38" s="662"/>
      <c r="M38" s="662"/>
      <c r="N38" s="662"/>
      <c r="O38" s="662"/>
      <c r="P38" s="662"/>
      <c r="Q38" s="662"/>
      <c r="R38" s="662"/>
      <c r="S38" s="662"/>
      <c r="T38" s="662"/>
      <c r="U38" s="689" t="s">
        <v>647</v>
      </c>
      <c r="V38" s="662"/>
      <c r="W38" s="662"/>
      <c r="X38" s="662"/>
      <c r="Y38" s="662"/>
      <c r="Z38" s="662"/>
      <c r="AA38" s="662"/>
      <c r="AB38" s="662"/>
      <c r="AC38" s="662"/>
      <c r="AD38" s="662"/>
      <c r="AE38" s="662"/>
      <c r="AF38" s="662"/>
      <c r="AG38" s="662"/>
      <c r="AH38" s="662"/>
      <c r="AI38" s="662"/>
      <c r="AJ38" s="662"/>
    </row>
    <row r="39" spans="1:124" s="714" customFormat="1" ht="88.5" customHeight="1" thickBot="1" x14ac:dyDescent="0.75">
      <c r="A39" s="683" t="s">
        <v>473</v>
      </c>
      <c r="B39" s="690">
        <f>'[3]int.kiadások RM I'!D39</f>
        <v>914448</v>
      </c>
      <c r="C39" s="690">
        <f>'[3]int.kiadások RM II maradvány'!C39+81384</f>
        <v>89267</v>
      </c>
      <c r="D39" s="690">
        <f>SUM(B39:C39)</f>
        <v>1003715</v>
      </c>
      <c r="E39" s="690">
        <f>'[3]int.kiadások RM I'!G39</f>
        <v>146384</v>
      </c>
      <c r="F39" s="690">
        <f>'[3]int.kiadások RM II maradvány'!F39+9462</f>
        <v>12347</v>
      </c>
      <c r="G39" s="690">
        <f>SUM(E39:F39)</f>
        <v>158731</v>
      </c>
      <c r="H39" s="690">
        <f>'[3]int.kiadások RM I'!J39</f>
        <v>656832</v>
      </c>
      <c r="I39" s="690">
        <f>'[3]int.kiadások RM II maradvány'!I39-2545+1553</f>
        <v>19709</v>
      </c>
      <c r="J39" s="690">
        <f>SUM(H39:I39)</f>
        <v>676541</v>
      </c>
      <c r="K39" s="683" t="s">
        <v>473</v>
      </c>
      <c r="L39" s="690">
        <f>'[3]int.kiadások RM I'!N39</f>
        <v>0</v>
      </c>
      <c r="M39" s="690"/>
      <c r="N39" s="690">
        <f>SUM(L39:M39)</f>
        <v>0</v>
      </c>
      <c r="O39" s="690">
        <f>'[3]int.kiadások RM I'!Q39</f>
        <v>0</v>
      </c>
      <c r="P39" s="690"/>
      <c r="Q39" s="690">
        <f>SUM(O39:P39)</f>
        <v>0</v>
      </c>
      <c r="R39" s="684">
        <f>B39+E39+H39+L39+O39</f>
        <v>1717664</v>
      </c>
      <c r="S39" s="684">
        <f>C39+F39+I39+M39+P39</f>
        <v>121323</v>
      </c>
      <c r="T39" s="684">
        <f>D39+G39+J39+N39+Q39</f>
        <v>1838987</v>
      </c>
      <c r="U39" s="683" t="s">
        <v>473</v>
      </c>
      <c r="V39" s="690">
        <f>'[3]int.kiadások RM I'!X39</f>
        <v>0</v>
      </c>
      <c r="W39" s="690">
        <f>'[3]int.kiadások RM II maradvány'!W39+2134</f>
        <v>10974</v>
      </c>
      <c r="X39" s="690">
        <f>SUM(V39:W39)</f>
        <v>10974</v>
      </c>
      <c r="Y39" s="690">
        <f>'[3]int.kiadások RM I'!AA39</f>
        <v>0</v>
      </c>
      <c r="Z39" s="690">
        <f>'[3]int.kiadások RM II maradvány'!Z39+411</f>
        <v>16843</v>
      </c>
      <c r="AA39" s="690">
        <f>SUM(Y39:Z39)</f>
        <v>16843</v>
      </c>
      <c r="AB39" s="690">
        <f>'[3]int.kiadások RM I'!AD39</f>
        <v>0</v>
      </c>
      <c r="AC39" s="690"/>
      <c r="AD39" s="690">
        <f>SUM(AB39:AC39)</f>
        <v>0</v>
      </c>
      <c r="AE39" s="684">
        <f>V39+Y39+AB39</f>
        <v>0</v>
      </c>
      <c r="AF39" s="684">
        <f>W39+Z39+AC39</f>
        <v>27817</v>
      </c>
      <c r="AG39" s="684">
        <f>X39+AA39+AD39</f>
        <v>27817</v>
      </c>
      <c r="AH39" s="684">
        <f>R39+AE39</f>
        <v>1717664</v>
      </c>
      <c r="AI39" s="684">
        <f>S39+AF39</f>
        <v>149140</v>
      </c>
      <c r="AJ39" s="684">
        <f>T39+AG39</f>
        <v>1866804</v>
      </c>
    </row>
    <row r="40" spans="1:124" s="716" customFormat="1" ht="48.75" customHeight="1" x14ac:dyDescent="0.7">
      <c r="A40" s="689" t="s">
        <v>635</v>
      </c>
      <c r="B40" s="662"/>
      <c r="C40" s="662"/>
      <c r="D40" s="662"/>
      <c r="E40" s="662"/>
      <c r="F40" s="662"/>
      <c r="G40" s="662"/>
      <c r="H40" s="662"/>
      <c r="I40" s="662"/>
      <c r="J40" s="662"/>
      <c r="K40" s="689" t="s">
        <v>635</v>
      </c>
      <c r="L40" s="662"/>
      <c r="M40" s="662"/>
      <c r="N40" s="662"/>
      <c r="O40" s="662"/>
      <c r="P40" s="662"/>
      <c r="Q40" s="662"/>
      <c r="R40" s="662"/>
      <c r="S40" s="662"/>
      <c r="T40" s="662"/>
      <c r="U40" s="689" t="s">
        <v>635</v>
      </c>
      <c r="V40" s="662"/>
      <c r="W40" s="662"/>
      <c r="X40" s="662"/>
      <c r="Y40" s="662"/>
      <c r="Z40" s="662"/>
      <c r="AA40" s="662"/>
      <c r="AB40" s="662"/>
      <c r="AC40" s="662"/>
      <c r="AD40" s="662"/>
      <c r="AE40" s="662"/>
      <c r="AF40" s="662"/>
      <c r="AG40" s="662"/>
      <c r="AH40" s="662"/>
      <c r="AI40" s="662"/>
      <c r="AJ40" s="662"/>
    </row>
    <row r="41" spans="1:124" s="716" customFormat="1" ht="49.5" customHeight="1" thickBot="1" x14ac:dyDescent="0.75">
      <c r="A41" s="696" t="s">
        <v>636</v>
      </c>
      <c r="B41" s="690">
        <f>'[3]int.kiadások RM I'!D41</f>
        <v>586331</v>
      </c>
      <c r="C41" s="690">
        <f>'[3]int.kiadások RM II maradvány'!C41</f>
        <v>47408</v>
      </c>
      <c r="D41" s="690">
        <f>SUM(B41:C41)</f>
        <v>633739</v>
      </c>
      <c r="E41" s="690">
        <f>'[3]int.kiadások RM I'!G41</f>
        <v>82110</v>
      </c>
      <c r="F41" s="690">
        <f>'[3]int.kiadások RM II maradvány'!F41</f>
        <v>12039</v>
      </c>
      <c r="G41" s="690">
        <f>SUM(E41:F41)</f>
        <v>94149</v>
      </c>
      <c r="H41" s="690">
        <f>'[3]int.kiadások RM I'!J41</f>
        <v>176381</v>
      </c>
      <c r="I41" s="690">
        <f>'[3]int.kiadások RM II maradvány'!I41-1016+9900</f>
        <v>132934</v>
      </c>
      <c r="J41" s="690">
        <f>SUM(H41:I41)</f>
        <v>309315</v>
      </c>
      <c r="K41" s="696" t="s">
        <v>636</v>
      </c>
      <c r="L41" s="690">
        <f>'[3]int.kiadások RM I'!N41</f>
        <v>0</v>
      </c>
      <c r="M41" s="690"/>
      <c r="N41" s="690">
        <f>SUM(L41:M41)</f>
        <v>0</v>
      </c>
      <c r="O41" s="690">
        <f>'[3]int.kiadások RM I'!Q41</f>
        <v>0</v>
      </c>
      <c r="P41" s="690"/>
      <c r="Q41" s="690">
        <f>SUM(O41:P41)</f>
        <v>0</v>
      </c>
      <c r="R41" s="684">
        <f>B41+E41+H41+L41+O41</f>
        <v>844822</v>
      </c>
      <c r="S41" s="684">
        <f>C41+F41+I41+M41+P41</f>
        <v>192381</v>
      </c>
      <c r="T41" s="684">
        <f>D41+G41+J41+N41+Q41</f>
        <v>1037203</v>
      </c>
      <c r="U41" s="696" t="s">
        <v>636</v>
      </c>
      <c r="V41" s="690">
        <f>'[3]int.kiadások RM I'!X41</f>
        <v>0</v>
      </c>
      <c r="W41" s="690">
        <f>'[3]int.kiadások RM II maradvány'!W41+1016+2600</f>
        <v>6532</v>
      </c>
      <c r="X41" s="690">
        <f>SUM(V41:W41)</f>
        <v>6532</v>
      </c>
      <c r="Y41" s="690">
        <f>'[3]int.kiadások RM I'!AA41</f>
        <v>0</v>
      </c>
      <c r="Z41" s="690">
        <f>'[3]int.kiadások RM II maradvány'!Z41</f>
        <v>0</v>
      </c>
      <c r="AA41" s="690">
        <f>SUM(Y41:Z41)</f>
        <v>0</v>
      </c>
      <c r="AB41" s="690">
        <f>'[3]int.kiadások RM I'!AD41</f>
        <v>0</v>
      </c>
      <c r="AC41" s="690"/>
      <c r="AD41" s="690">
        <f>SUM(AB41:AC41)</f>
        <v>0</v>
      </c>
      <c r="AE41" s="684">
        <f>V41+Y41+AB41</f>
        <v>0</v>
      </c>
      <c r="AF41" s="684">
        <f>W41+Z41+AC41</f>
        <v>6532</v>
      </c>
      <c r="AG41" s="684">
        <f>X41+AA41+AD41</f>
        <v>6532</v>
      </c>
      <c r="AH41" s="684">
        <f>R41+AE41</f>
        <v>844822</v>
      </c>
      <c r="AI41" s="684">
        <f>S41+AF41</f>
        <v>198913</v>
      </c>
      <c r="AJ41" s="684">
        <f>T41+AG41</f>
        <v>1043735</v>
      </c>
    </row>
    <row r="42" spans="1:124" s="716" customFormat="1" ht="48" customHeight="1" x14ac:dyDescent="0.7">
      <c r="A42" s="682" t="s">
        <v>637</v>
      </c>
      <c r="B42" s="678"/>
      <c r="C42" s="678"/>
      <c r="D42" s="678"/>
      <c r="E42" s="678"/>
      <c r="F42" s="678"/>
      <c r="G42" s="678"/>
      <c r="H42" s="678"/>
      <c r="I42" s="678"/>
      <c r="J42" s="678"/>
      <c r="K42" s="682" t="s">
        <v>637</v>
      </c>
      <c r="L42" s="678"/>
      <c r="M42" s="678"/>
      <c r="N42" s="678"/>
      <c r="O42" s="678"/>
      <c r="P42" s="678"/>
      <c r="Q42" s="678"/>
      <c r="R42" s="678"/>
      <c r="S42" s="678"/>
      <c r="T42" s="678"/>
      <c r="U42" s="682" t="s">
        <v>637</v>
      </c>
      <c r="V42" s="678"/>
      <c r="W42" s="678"/>
      <c r="X42" s="678"/>
      <c r="Y42" s="678"/>
      <c r="Z42" s="678"/>
      <c r="AA42" s="678"/>
      <c r="AB42" s="678"/>
      <c r="AC42" s="678"/>
      <c r="AD42" s="678"/>
      <c r="AE42" s="678"/>
      <c r="AF42" s="678"/>
      <c r="AG42" s="678"/>
      <c r="AH42" s="678"/>
      <c r="AI42" s="678"/>
      <c r="AJ42" s="678"/>
    </row>
    <row r="43" spans="1:124" s="716" customFormat="1" ht="48.75" customHeight="1" thickBot="1" x14ac:dyDescent="0.75">
      <c r="A43" s="698" t="s">
        <v>519</v>
      </c>
      <c r="B43" s="665">
        <f>'[3]int.kiadások RM I'!D43</f>
        <v>1517086</v>
      </c>
      <c r="C43" s="669">
        <f>'[3]int.kiadások RM II maradvány'!C43+12689</f>
        <v>12689</v>
      </c>
      <c r="D43" s="669">
        <f>SUM(B43:C43)</f>
        <v>1529775</v>
      </c>
      <c r="E43" s="665">
        <f>'[3]int.kiadások RM I'!G43</f>
        <v>228956</v>
      </c>
      <c r="F43" s="669">
        <f>'[3]int.kiadások RM II maradvány'!F43+1650</f>
        <v>1650</v>
      </c>
      <c r="G43" s="669">
        <f>SUM(E43:F43)</f>
        <v>230606</v>
      </c>
      <c r="H43" s="665">
        <f>'[3]int.kiadások RM I'!J43</f>
        <v>233823</v>
      </c>
      <c r="I43" s="669">
        <f>'[3]int.kiadások RM II maradvány'!I43+13350</f>
        <v>13350</v>
      </c>
      <c r="J43" s="669">
        <f>SUM(H43:I43)</f>
        <v>247173</v>
      </c>
      <c r="K43" s="698" t="s">
        <v>474</v>
      </c>
      <c r="L43" s="669">
        <f>'[3]int.kiadások RM I'!N43</f>
        <v>0</v>
      </c>
      <c r="M43" s="669"/>
      <c r="N43" s="669">
        <f>SUM(L43:M43)</f>
        <v>0</v>
      </c>
      <c r="O43" s="669">
        <f>'[3]int.kiadások RM I'!Q43</f>
        <v>0</v>
      </c>
      <c r="P43" s="669"/>
      <c r="Q43" s="669">
        <f>SUM(O43:P43)</f>
        <v>0</v>
      </c>
      <c r="R43" s="666">
        <f>B43+E43+H43+L43+O43</f>
        <v>1979865</v>
      </c>
      <c r="S43" s="666">
        <f>C43+F43+I43+M43+P43</f>
        <v>27689</v>
      </c>
      <c r="T43" s="666">
        <f>D43+G43+J43+N43+Q43</f>
        <v>2007554</v>
      </c>
      <c r="U43" s="698" t="s">
        <v>519</v>
      </c>
      <c r="V43" s="669">
        <f>'[3]int.kiadások RM I'!X43</f>
        <v>700</v>
      </c>
      <c r="W43" s="669">
        <f>'[3]int.kiadások RM II maradvány'!W43+169+6225</f>
        <v>16085</v>
      </c>
      <c r="X43" s="669">
        <f>SUM(V43:W43)</f>
        <v>16785</v>
      </c>
      <c r="Y43" s="669">
        <f>'[3]int.kiadások RM I'!AA43</f>
        <v>0</v>
      </c>
      <c r="Z43" s="669">
        <f>'[3]int.kiadások RM II maradvány'!Z43+3775</f>
        <v>6469</v>
      </c>
      <c r="AA43" s="669">
        <f>SUM(Y43:Z43)</f>
        <v>6469</v>
      </c>
      <c r="AB43" s="669">
        <f>'[3]int.kiadások RM I'!AD43</f>
        <v>0</v>
      </c>
      <c r="AC43" s="669"/>
      <c r="AD43" s="669">
        <f>SUM(AB43:AC43)</f>
        <v>0</v>
      </c>
      <c r="AE43" s="666">
        <f>V43+Y43+AB43</f>
        <v>700</v>
      </c>
      <c r="AF43" s="666">
        <f>W43+Z43+AC43</f>
        <v>22554</v>
      </c>
      <c r="AG43" s="666">
        <f>X43+AA43+AD43</f>
        <v>23254</v>
      </c>
      <c r="AH43" s="666">
        <f>R43+AE43</f>
        <v>1980565</v>
      </c>
      <c r="AI43" s="666">
        <f>S43+AF43</f>
        <v>50243</v>
      </c>
      <c r="AJ43" s="666">
        <f>T43+AG43</f>
        <v>2030808</v>
      </c>
    </row>
    <row r="44" spans="1:124" s="716" customFormat="1" ht="48" customHeight="1" x14ac:dyDescent="0.7">
      <c r="A44" s="689" t="s">
        <v>638</v>
      </c>
      <c r="B44" s="662"/>
      <c r="C44" s="662"/>
      <c r="D44" s="662"/>
      <c r="E44" s="662"/>
      <c r="F44" s="662"/>
      <c r="G44" s="662"/>
      <c r="H44" s="662"/>
      <c r="I44" s="662"/>
      <c r="J44" s="662"/>
      <c r="K44" s="689" t="s">
        <v>648</v>
      </c>
      <c r="L44" s="662"/>
      <c r="M44" s="662"/>
      <c r="N44" s="662"/>
      <c r="O44" s="662"/>
      <c r="P44" s="662"/>
      <c r="Q44" s="662"/>
      <c r="R44" s="662"/>
      <c r="S44" s="662"/>
      <c r="T44" s="662"/>
      <c r="U44" s="689" t="s">
        <v>648</v>
      </c>
      <c r="V44" s="662"/>
      <c r="W44" s="662"/>
      <c r="X44" s="662"/>
      <c r="Y44" s="662"/>
      <c r="Z44" s="662"/>
      <c r="AA44" s="662"/>
      <c r="AB44" s="662"/>
      <c r="AC44" s="662"/>
      <c r="AD44" s="662"/>
      <c r="AE44" s="662"/>
      <c r="AF44" s="662"/>
      <c r="AG44" s="662"/>
      <c r="AH44" s="662"/>
      <c r="AI44" s="662"/>
      <c r="AJ44" s="662"/>
    </row>
    <row r="45" spans="1:124" s="716" customFormat="1" ht="48.75" customHeight="1" x14ac:dyDescent="0.7">
      <c r="A45" s="664" t="s">
        <v>475</v>
      </c>
      <c r="B45" s="665">
        <f>'[3]int.kiadások RM I'!D45</f>
        <v>85008</v>
      </c>
      <c r="C45" s="665">
        <f>'[3]int.kiadások RM II maradvány'!C45</f>
        <v>1366</v>
      </c>
      <c r="D45" s="665">
        <f>SUM(B45:C45)</f>
        <v>86374</v>
      </c>
      <c r="E45" s="665">
        <f>'[3]int.kiadások RM I'!G45</f>
        <v>11032</v>
      </c>
      <c r="F45" s="665">
        <f>'[3]int.kiadások RM II maradvány'!F45</f>
        <v>324</v>
      </c>
      <c r="G45" s="665">
        <f>SUM(E45:F45)</f>
        <v>11356</v>
      </c>
      <c r="H45" s="665">
        <f>'[3]int.kiadások RM I'!J45</f>
        <v>112978</v>
      </c>
      <c r="I45" s="665">
        <f>'[3]int.kiadások RM II maradvány'!I45-3547</f>
        <v>18025</v>
      </c>
      <c r="J45" s="665">
        <f>SUM(H45:I45)</f>
        <v>131003</v>
      </c>
      <c r="K45" s="664" t="s">
        <v>475</v>
      </c>
      <c r="L45" s="665">
        <f>'[3]int.kiadások RM I'!N45</f>
        <v>0</v>
      </c>
      <c r="M45" s="665"/>
      <c r="N45" s="665">
        <f>SUM(L45:M45)</f>
        <v>0</v>
      </c>
      <c r="O45" s="665">
        <f>'[3]int.kiadások RM I'!Q45</f>
        <v>0</v>
      </c>
      <c r="P45" s="718"/>
      <c r="Q45" s="665">
        <f>SUM(O45:P45)</f>
        <v>0</v>
      </c>
      <c r="R45" s="666">
        <f t="shared" ref="R45:T46" si="24">B45+E45+H45+L45+O45</f>
        <v>209018</v>
      </c>
      <c r="S45" s="666">
        <f t="shared" si="24"/>
        <v>19715</v>
      </c>
      <c r="T45" s="666">
        <f t="shared" si="24"/>
        <v>228733</v>
      </c>
      <c r="U45" s="664" t="s">
        <v>475</v>
      </c>
      <c r="V45" s="665">
        <f>'[3]int.kiadások RM I'!X45</f>
        <v>0</v>
      </c>
      <c r="W45" s="665">
        <f>'[3]int.kiadások RM II maradvány'!W45+3547</f>
        <v>7732</v>
      </c>
      <c r="X45" s="665">
        <f>SUM(V45:W45)</f>
        <v>7732</v>
      </c>
      <c r="Y45" s="665">
        <f>'[3]int.kiadások RM I'!AA45</f>
        <v>0</v>
      </c>
      <c r="Z45" s="665">
        <f>'[3]int.kiadások RM II maradvány'!Z45</f>
        <v>0</v>
      </c>
      <c r="AA45" s="665">
        <f>SUM(Y45:Z45)</f>
        <v>0</v>
      </c>
      <c r="AB45" s="665">
        <f>'[3]int.kiadások RM I'!AD45</f>
        <v>0</v>
      </c>
      <c r="AC45" s="665"/>
      <c r="AD45" s="665">
        <f>SUM(AB45:AC45)</f>
        <v>0</v>
      </c>
      <c r="AE45" s="666">
        <f t="shared" ref="AE45:AG46" si="25">V45+Y45+AB45</f>
        <v>0</v>
      </c>
      <c r="AF45" s="666">
        <f t="shared" si="25"/>
        <v>7732</v>
      </c>
      <c r="AG45" s="666">
        <f t="shared" si="25"/>
        <v>7732</v>
      </c>
      <c r="AH45" s="666">
        <f t="shared" ref="AH45:AJ46" si="26">R45+AE45</f>
        <v>209018</v>
      </c>
      <c r="AI45" s="666">
        <f t="shared" si="26"/>
        <v>27447</v>
      </c>
      <c r="AJ45" s="666">
        <f t="shared" si="26"/>
        <v>236465</v>
      </c>
      <c r="AK45" s="724"/>
    </row>
    <row r="46" spans="1:124" s="720" customFormat="1" ht="49.5" customHeight="1" thickBot="1" x14ac:dyDescent="0.75">
      <c r="A46" s="700" t="s">
        <v>4</v>
      </c>
      <c r="B46" s="701">
        <f>'[3]int.kiadások RM I'!D46</f>
        <v>2328206</v>
      </c>
      <c r="C46" s="701">
        <f>'[3]int.kiadások RM II maradvány'!C46+717</f>
        <v>156638</v>
      </c>
      <c r="D46" s="701">
        <f>SUM(B46:C46)</f>
        <v>2484844</v>
      </c>
      <c r="E46" s="701">
        <f>'[3]int.kiadások RM I'!G46</f>
        <v>342245</v>
      </c>
      <c r="F46" s="701">
        <f>'[3]int.kiadások RM II maradvány'!F46+93</f>
        <v>25183</v>
      </c>
      <c r="G46" s="702">
        <f>SUM(E46:F46)</f>
        <v>367428</v>
      </c>
      <c r="H46" s="701">
        <f>'[3]int.kiadások RM I'!J46</f>
        <v>459603</v>
      </c>
      <c r="I46" s="702">
        <f>'[3]int.kiadások RM II maradvány'!I46</f>
        <v>34291</v>
      </c>
      <c r="J46" s="701">
        <f>SUM(H46:I46)</f>
        <v>493894</v>
      </c>
      <c r="K46" s="700" t="s">
        <v>4</v>
      </c>
      <c r="L46" s="701">
        <f>'[3]int.kiadások RM I'!N46</f>
        <v>0</v>
      </c>
      <c r="M46" s="702"/>
      <c r="N46" s="701">
        <f>SUM(L46:M46)</f>
        <v>0</v>
      </c>
      <c r="O46" s="702">
        <f>'[3]int.kiadások RM I'!Q46</f>
        <v>4000</v>
      </c>
      <c r="P46" s="701"/>
      <c r="Q46" s="719">
        <f>SUM(O46:P46)</f>
        <v>4000</v>
      </c>
      <c r="R46" s="670">
        <f t="shared" si="24"/>
        <v>3134054</v>
      </c>
      <c r="S46" s="703">
        <f t="shared" si="24"/>
        <v>216112</v>
      </c>
      <c r="T46" s="670">
        <f t="shared" si="24"/>
        <v>3350166</v>
      </c>
      <c r="U46" s="700" t="s">
        <v>4</v>
      </c>
      <c r="V46" s="701">
        <f>'[3]int.kiadások RM I'!X46</f>
        <v>72163</v>
      </c>
      <c r="W46" s="702">
        <f>'[3]int.kiadások RM II maradvány'!W46</f>
        <v>21123</v>
      </c>
      <c r="X46" s="701">
        <f>SUM(V46:W46)</f>
        <v>93286</v>
      </c>
      <c r="Y46" s="702">
        <f>'[3]int.kiadások RM I'!AA46</f>
        <v>0</v>
      </c>
      <c r="Z46" s="701">
        <f>'[3]int.kiadások RM II maradvány'!Z46</f>
        <v>0</v>
      </c>
      <c r="AA46" s="702">
        <f>SUM(Y46:Z46)</f>
        <v>0</v>
      </c>
      <c r="AB46" s="701">
        <f>'[3]int.kiadások RM I'!AD46</f>
        <v>0</v>
      </c>
      <c r="AC46" s="702"/>
      <c r="AD46" s="719">
        <f>SUM(AB46:AC46)</f>
        <v>0</v>
      </c>
      <c r="AE46" s="670">
        <f t="shared" si="25"/>
        <v>72163</v>
      </c>
      <c r="AF46" s="703">
        <f t="shared" si="25"/>
        <v>21123</v>
      </c>
      <c r="AG46" s="670">
        <f t="shared" si="25"/>
        <v>93286</v>
      </c>
      <c r="AH46" s="703">
        <f t="shared" si="26"/>
        <v>3206217</v>
      </c>
      <c r="AI46" s="670">
        <f t="shared" si="26"/>
        <v>237235</v>
      </c>
      <c r="AJ46" s="670">
        <f t="shared" si="26"/>
        <v>3443452</v>
      </c>
      <c r="AK46" s="724"/>
      <c r="AL46" s="716"/>
      <c r="AM46" s="716"/>
      <c r="AN46" s="716"/>
      <c r="AO46" s="716"/>
      <c r="AP46" s="716"/>
      <c r="AQ46" s="716"/>
      <c r="AR46" s="716"/>
      <c r="AS46" s="716"/>
      <c r="AT46" s="716"/>
      <c r="AU46" s="716"/>
      <c r="AV46" s="716"/>
      <c r="AW46" s="716"/>
      <c r="AX46" s="716"/>
      <c r="AY46" s="716"/>
      <c r="AZ46" s="716"/>
      <c r="BA46" s="716"/>
      <c r="BB46" s="716"/>
      <c r="BC46" s="716"/>
      <c r="BD46" s="716"/>
      <c r="BE46" s="716"/>
      <c r="BF46" s="716"/>
      <c r="BG46" s="716"/>
      <c r="BH46" s="716"/>
      <c r="BI46" s="716"/>
      <c r="BJ46" s="716"/>
      <c r="BK46" s="716"/>
      <c r="BL46" s="716"/>
      <c r="BM46" s="716"/>
      <c r="BN46" s="716"/>
      <c r="BO46" s="716"/>
      <c r="BP46" s="716"/>
      <c r="BQ46" s="716"/>
      <c r="BR46" s="716"/>
      <c r="BS46" s="716"/>
      <c r="BT46" s="716"/>
      <c r="BU46" s="716"/>
      <c r="BV46" s="716"/>
      <c r="BW46" s="716"/>
      <c r="BX46" s="716"/>
      <c r="BY46" s="716"/>
      <c r="BZ46" s="716"/>
      <c r="CA46" s="716"/>
      <c r="CB46" s="716"/>
      <c r="CC46" s="716"/>
      <c r="CD46" s="716"/>
      <c r="CE46" s="716"/>
      <c r="CF46" s="716"/>
      <c r="CG46" s="716"/>
      <c r="CH46" s="716"/>
      <c r="CI46" s="716"/>
      <c r="CJ46" s="716"/>
      <c r="CK46" s="716"/>
      <c r="CL46" s="716"/>
      <c r="CM46" s="716"/>
      <c r="CN46" s="716"/>
      <c r="CO46" s="716"/>
      <c r="CP46" s="716"/>
      <c r="CQ46" s="716"/>
      <c r="CR46" s="716"/>
      <c r="CS46" s="716"/>
      <c r="CT46" s="716"/>
      <c r="CU46" s="716"/>
      <c r="CV46" s="716"/>
      <c r="CW46" s="716"/>
      <c r="CX46" s="716"/>
      <c r="CY46" s="716"/>
      <c r="CZ46" s="716"/>
      <c r="DA46" s="716"/>
      <c r="DB46" s="716"/>
      <c r="DC46" s="716"/>
      <c r="DD46" s="716"/>
      <c r="DE46" s="716"/>
      <c r="DF46" s="716"/>
      <c r="DG46" s="716"/>
      <c r="DH46" s="716"/>
      <c r="DI46" s="716"/>
      <c r="DJ46" s="716"/>
      <c r="DK46" s="716"/>
      <c r="DL46" s="716"/>
      <c r="DM46" s="716"/>
      <c r="DN46" s="716"/>
      <c r="DO46" s="716"/>
      <c r="DP46" s="716"/>
      <c r="DQ46" s="716"/>
      <c r="DR46" s="716"/>
      <c r="DS46" s="716"/>
      <c r="DT46" s="716"/>
    </row>
    <row r="47" spans="1:124" s="716" customFormat="1" ht="61.5" customHeight="1" thickBot="1" x14ac:dyDescent="0.75">
      <c r="A47" s="721" t="s">
        <v>639</v>
      </c>
      <c r="B47" s="684">
        <f t="shared" ref="B47:J47" si="27">SUM(B45:B46)</f>
        <v>2413214</v>
      </c>
      <c r="C47" s="684">
        <f t="shared" si="27"/>
        <v>158004</v>
      </c>
      <c r="D47" s="684">
        <f t="shared" si="27"/>
        <v>2571218</v>
      </c>
      <c r="E47" s="684">
        <f t="shared" si="27"/>
        <v>353277</v>
      </c>
      <c r="F47" s="684">
        <f t="shared" si="27"/>
        <v>25507</v>
      </c>
      <c r="G47" s="684">
        <f t="shared" si="27"/>
        <v>378784</v>
      </c>
      <c r="H47" s="684">
        <f t="shared" si="27"/>
        <v>572581</v>
      </c>
      <c r="I47" s="684">
        <f t="shared" si="27"/>
        <v>52316</v>
      </c>
      <c r="J47" s="684">
        <f t="shared" si="27"/>
        <v>624897</v>
      </c>
      <c r="K47" s="721" t="s">
        <v>639</v>
      </c>
      <c r="L47" s="684">
        <f t="shared" ref="L47:T47" si="28">SUM(L45:L46)</f>
        <v>0</v>
      </c>
      <c r="M47" s="684">
        <f t="shared" si="28"/>
        <v>0</v>
      </c>
      <c r="N47" s="684">
        <f t="shared" si="28"/>
        <v>0</v>
      </c>
      <c r="O47" s="684">
        <f t="shared" si="28"/>
        <v>4000</v>
      </c>
      <c r="P47" s="684">
        <f t="shared" si="28"/>
        <v>0</v>
      </c>
      <c r="Q47" s="684">
        <f t="shared" si="28"/>
        <v>4000</v>
      </c>
      <c r="R47" s="684">
        <f t="shared" si="28"/>
        <v>3343072</v>
      </c>
      <c r="S47" s="684">
        <f t="shared" si="28"/>
        <v>235827</v>
      </c>
      <c r="T47" s="684">
        <f t="shared" si="28"/>
        <v>3578899</v>
      </c>
      <c r="U47" s="721" t="s">
        <v>639</v>
      </c>
      <c r="V47" s="684">
        <f t="shared" ref="V47:AJ47" si="29">SUM(V45:V46)</f>
        <v>72163</v>
      </c>
      <c r="W47" s="684">
        <f t="shared" si="29"/>
        <v>28855</v>
      </c>
      <c r="X47" s="684">
        <f t="shared" si="29"/>
        <v>101018</v>
      </c>
      <c r="Y47" s="684">
        <f t="shared" si="29"/>
        <v>0</v>
      </c>
      <c r="Z47" s="684">
        <f t="shared" si="29"/>
        <v>0</v>
      </c>
      <c r="AA47" s="684">
        <f t="shared" si="29"/>
        <v>0</v>
      </c>
      <c r="AB47" s="684">
        <f t="shared" si="29"/>
        <v>0</v>
      </c>
      <c r="AC47" s="684">
        <f t="shared" si="29"/>
        <v>0</v>
      </c>
      <c r="AD47" s="684">
        <f t="shared" si="29"/>
        <v>0</v>
      </c>
      <c r="AE47" s="684">
        <f t="shared" si="29"/>
        <v>72163</v>
      </c>
      <c r="AF47" s="684">
        <f t="shared" si="29"/>
        <v>28855</v>
      </c>
      <c r="AG47" s="684">
        <f t="shared" si="29"/>
        <v>101018</v>
      </c>
      <c r="AH47" s="684">
        <f t="shared" si="29"/>
        <v>3415235</v>
      </c>
      <c r="AI47" s="684">
        <f t="shared" si="29"/>
        <v>264682</v>
      </c>
      <c r="AJ47" s="684">
        <f t="shared" si="29"/>
        <v>3679917</v>
      </c>
    </row>
    <row r="48" spans="1:124" s="716" customFormat="1" ht="61.5" customHeight="1" thickBot="1" x14ac:dyDescent="0.75">
      <c r="A48" s="721" t="s">
        <v>640</v>
      </c>
      <c r="B48" s="670">
        <f t="shared" ref="B48:J48" si="30">B37+B39+B41+B43+B47</f>
        <v>6761913</v>
      </c>
      <c r="C48" s="670">
        <f t="shared" si="30"/>
        <v>615926</v>
      </c>
      <c r="D48" s="670">
        <f t="shared" si="30"/>
        <v>7377839</v>
      </c>
      <c r="E48" s="670">
        <f t="shared" si="30"/>
        <v>981673</v>
      </c>
      <c r="F48" s="670">
        <f t="shared" si="30"/>
        <v>103558</v>
      </c>
      <c r="G48" s="670">
        <f t="shared" si="30"/>
        <v>1085231</v>
      </c>
      <c r="H48" s="670">
        <f t="shared" si="30"/>
        <v>1963045</v>
      </c>
      <c r="I48" s="670">
        <f t="shared" si="30"/>
        <v>651560</v>
      </c>
      <c r="J48" s="670">
        <f t="shared" si="30"/>
        <v>2614605</v>
      </c>
      <c r="K48" s="721" t="s">
        <v>640</v>
      </c>
      <c r="L48" s="670">
        <f t="shared" ref="L48:T48" si="31">L37+L39+L41+L43+L47</f>
        <v>0</v>
      </c>
      <c r="M48" s="670">
        <f t="shared" si="31"/>
        <v>0</v>
      </c>
      <c r="N48" s="670">
        <f t="shared" si="31"/>
        <v>0</v>
      </c>
      <c r="O48" s="670">
        <f t="shared" si="31"/>
        <v>4000</v>
      </c>
      <c r="P48" s="670">
        <f t="shared" si="31"/>
        <v>0</v>
      </c>
      <c r="Q48" s="670">
        <f t="shared" si="31"/>
        <v>4000</v>
      </c>
      <c r="R48" s="670">
        <f t="shared" si="31"/>
        <v>9710631</v>
      </c>
      <c r="S48" s="670">
        <f t="shared" si="31"/>
        <v>1371044</v>
      </c>
      <c r="T48" s="670">
        <f t="shared" si="31"/>
        <v>11081675</v>
      </c>
      <c r="U48" s="721" t="s">
        <v>640</v>
      </c>
      <c r="V48" s="670">
        <f t="shared" ref="V48:AJ48" si="32">V37+V39+V41+V43+V47</f>
        <v>72863</v>
      </c>
      <c r="W48" s="670">
        <f t="shared" si="32"/>
        <v>124717</v>
      </c>
      <c r="X48" s="670">
        <f t="shared" si="32"/>
        <v>197580</v>
      </c>
      <c r="Y48" s="670">
        <f t="shared" si="32"/>
        <v>0</v>
      </c>
      <c r="Z48" s="670">
        <f t="shared" si="32"/>
        <v>23312</v>
      </c>
      <c r="AA48" s="670">
        <f t="shared" si="32"/>
        <v>23312</v>
      </c>
      <c r="AB48" s="670">
        <f t="shared" si="32"/>
        <v>0</v>
      </c>
      <c r="AC48" s="670">
        <f t="shared" si="32"/>
        <v>0</v>
      </c>
      <c r="AD48" s="670">
        <f t="shared" si="32"/>
        <v>0</v>
      </c>
      <c r="AE48" s="670">
        <f t="shared" si="32"/>
        <v>72863</v>
      </c>
      <c r="AF48" s="670">
        <f t="shared" si="32"/>
        <v>148029</v>
      </c>
      <c r="AG48" s="670">
        <f t="shared" si="32"/>
        <v>220892</v>
      </c>
      <c r="AH48" s="670">
        <f t="shared" si="32"/>
        <v>9783494</v>
      </c>
      <c r="AI48" s="670">
        <f t="shared" si="32"/>
        <v>1519073</v>
      </c>
      <c r="AJ48" s="670">
        <f t="shared" si="32"/>
        <v>11302567</v>
      </c>
    </row>
    <row r="49" spans="1:36" s="716" customFormat="1" ht="61.5" customHeight="1" thickBot="1" x14ac:dyDescent="0.75">
      <c r="A49" s="706" t="s">
        <v>641</v>
      </c>
      <c r="B49" s="672">
        <f t="shared" ref="B49:J49" si="33">B30+B48</f>
        <v>10139276</v>
      </c>
      <c r="C49" s="672">
        <f t="shared" si="33"/>
        <v>715459</v>
      </c>
      <c r="D49" s="672">
        <f t="shared" si="33"/>
        <v>10854735</v>
      </c>
      <c r="E49" s="672">
        <f t="shared" si="33"/>
        <v>1450628</v>
      </c>
      <c r="F49" s="672">
        <f t="shared" si="33"/>
        <v>115763</v>
      </c>
      <c r="G49" s="672">
        <f t="shared" si="33"/>
        <v>1566391</v>
      </c>
      <c r="H49" s="672">
        <f t="shared" si="33"/>
        <v>4152896</v>
      </c>
      <c r="I49" s="672">
        <f t="shared" si="33"/>
        <v>697279</v>
      </c>
      <c r="J49" s="672">
        <f t="shared" si="33"/>
        <v>4850175</v>
      </c>
      <c r="K49" s="706" t="s">
        <v>641</v>
      </c>
      <c r="L49" s="672">
        <f t="shared" ref="L49:T49" si="34">L30+L48</f>
        <v>0</v>
      </c>
      <c r="M49" s="672">
        <f t="shared" si="34"/>
        <v>0</v>
      </c>
      <c r="N49" s="672">
        <f t="shared" si="34"/>
        <v>0</v>
      </c>
      <c r="O49" s="672">
        <f t="shared" si="34"/>
        <v>4000</v>
      </c>
      <c r="P49" s="672">
        <f t="shared" si="34"/>
        <v>0</v>
      </c>
      <c r="Q49" s="672">
        <f t="shared" si="34"/>
        <v>4000</v>
      </c>
      <c r="R49" s="672">
        <f t="shared" si="34"/>
        <v>15746800</v>
      </c>
      <c r="S49" s="672">
        <f t="shared" si="34"/>
        <v>1528501</v>
      </c>
      <c r="T49" s="672">
        <f t="shared" si="34"/>
        <v>17275301</v>
      </c>
      <c r="U49" s="706" t="s">
        <v>641</v>
      </c>
      <c r="V49" s="672">
        <f t="shared" ref="V49:AJ49" si="35">V30+V48</f>
        <v>72863</v>
      </c>
      <c r="W49" s="672">
        <f t="shared" si="35"/>
        <v>154554</v>
      </c>
      <c r="X49" s="672">
        <f t="shared" si="35"/>
        <v>227417</v>
      </c>
      <c r="Y49" s="672">
        <f t="shared" si="35"/>
        <v>0</v>
      </c>
      <c r="Z49" s="672">
        <f t="shared" si="35"/>
        <v>54765</v>
      </c>
      <c r="AA49" s="672">
        <f t="shared" si="35"/>
        <v>54765</v>
      </c>
      <c r="AB49" s="672">
        <f t="shared" si="35"/>
        <v>0</v>
      </c>
      <c r="AC49" s="672">
        <f t="shared" si="35"/>
        <v>0</v>
      </c>
      <c r="AD49" s="672">
        <f t="shared" si="35"/>
        <v>0</v>
      </c>
      <c r="AE49" s="672">
        <f t="shared" si="35"/>
        <v>72863</v>
      </c>
      <c r="AF49" s="672">
        <f t="shared" si="35"/>
        <v>209319</v>
      </c>
      <c r="AG49" s="672">
        <f t="shared" si="35"/>
        <v>282182</v>
      </c>
      <c r="AH49" s="672">
        <f t="shared" si="35"/>
        <v>15819663</v>
      </c>
      <c r="AI49" s="672">
        <f t="shared" si="35"/>
        <v>1737820</v>
      </c>
      <c r="AJ49" s="672">
        <f t="shared" si="35"/>
        <v>17557483</v>
      </c>
    </row>
  </sheetData>
  <mergeCells count="20">
    <mergeCell ref="A5:A6"/>
    <mergeCell ref="B5:D7"/>
    <mergeCell ref="E5:G7"/>
    <mergeCell ref="H5:J7"/>
    <mergeCell ref="K5:K6"/>
    <mergeCell ref="L5:N7"/>
    <mergeCell ref="B2:J2"/>
    <mergeCell ref="L2:T2"/>
    <mergeCell ref="V2:AJ2"/>
    <mergeCell ref="B3:J3"/>
    <mergeCell ref="L3:T3"/>
    <mergeCell ref="V3:AJ3"/>
    <mergeCell ref="AE5:AG7"/>
    <mergeCell ref="AH5:AJ7"/>
    <mergeCell ref="O5:Q7"/>
    <mergeCell ref="R5:T7"/>
    <mergeCell ref="U5:U6"/>
    <mergeCell ref="V5:X7"/>
    <mergeCell ref="Y5:AA7"/>
    <mergeCell ref="AB5:AD7"/>
  </mergeCells>
  <printOptions horizontalCentered="1" verticalCentered="1"/>
  <pageMargins left="0" right="0" top="0" bottom="0.59055118110236227" header="0" footer="0"/>
  <pageSetup paperSize="9" scale="18" orientation="landscape" r:id="rId1"/>
  <headerFooter alignWithMargins="0">
    <oddHeader>&amp;L&amp;14
&amp;F &amp;A&amp;R&amp;"Arial CE,Félkövér"&amp;36
 6.  melléklet a 15/2025.(V.30.) önkormányzati rendelethez
"6. melléklet a 4/2025.(II.28.) önkormányzati rendelethez"</oddHeader>
    <oddFooter xml:space="preserve">&amp;C &amp;R
&amp;36 &amp;10
</oddFooter>
  </headerFooter>
  <colBreaks count="2" manualBreakCount="2">
    <brk id="10" max="50" man="1"/>
    <brk id="20" max="5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50D50-A1E1-4128-B23C-737EED89D0E1}">
  <dimension ref="A1:P50"/>
  <sheetViews>
    <sheetView view="pageLayout" topLeftCell="W1" zoomScaleNormal="40" zoomScaleSheetLayoutView="50" workbookViewId="0">
      <selection activeCell="AW18" sqref="AW18"/>
    </sheetView>
  </sheetViews>
  <sheetFormatPr defaultColWidth="12" defaultRowHeight="33.75" x14ac:dyDescent="0.5"/>
  <cols>
    <col min="1" max="1" width="151" style="806" customWidth="1"/>
    <col min="2" max="2" width="60.83203125" style="810" customWidth="1"/>
    <col min="3" max="3" width="50.1640625" style="810" customWidth="1"/>
    <col min="4" max="4" width="41" style="810" customWidth="1"/>
    <col min="5" max="5" width="42.83203125" style="810" customWidth="1"/>
    <col min="6" max="6" width="43.1640625" style="810" customWidth="1"/>
    <col min="7" max="7" width="60.83203125" style="810" customWidth="1"/>
    <col min="8" max="8" width="50.1640625" style="810" customWidth="1"/>
    <col min="9" max="9" width="60.83203125" style="810" customWidth="1"/>
    <col min="10" max="10" width="50" style="810" customWidth="1"/>
    <col min="11" max="11" width="42.83203125" style="810" customWidth="1"/>
    <col min="12" max="12" width="42.1640625" style="810" customWidth="1"/>
    <col min="13" max="13" width="61" style="810" customWidth="1"/>
    <col min="14" max="14" width="50" style="810" customWidth="1"/>
    <col min="15" max="15" width="58.1640625" style="810" customWidth="1"/>
    <col min="16" max="16" width="52.83203125" style="810" customWidth="1"/>
    <col min="17" max="212" width="12" style="810"/>
    <col min="213" max="213" width="151" style="810" customWidth="1"/>
    <col min="214" max="214" width="60.83203125" style="810" customWidth="1"/>
    <col min="215" max="215" width="50.1640625" style="810" customWidth="1"/>
    <col min="216" max="216" width="41" style="810" customWidth="1"/>
    <col min="217" max="217" width="42.83203125" style="810" customWidth="1"/>
    <col min="218" max="218" width="43.1640625" style="810" customWidth="1"/>
    <col min="219" max="219" width="60.83203125" style="810" customWidth="1"/>
    <col min="220" max="220" width="50.1640625" style="810" customWidth="1"/>
    <col min="221" max="221" width="60.83203125" style="810" customWidth="1"/>
    <col min="222" max="222" width="50" style="810" customWidth="1"/>
    <col min="223" max="223" width="42.83203125" style="810" customWidth="1"/>
    <col min="224" max="224" width="42.1640625" style="810" customWidth="1"/>
    <col min="225" max="225" width="61" style="810" customWidth="1"/>
    <col min="226" max="226" width="50" style="810" customWidth="1"/>
    <col min="227" max="227" width="58.1640625" style="810" customWidth="1"/>
    <col min="228" max="228" width="52.83203125" style="810" customWidth="1"/>
    <col min="229" max="229" width="151" style="810" customWidth="1"/>
    <col min="230" max="230" width="12" style="810"/>
    <col min="231" max="231" width="22.5" style="810" customWidth="1"/>
    <col min="232" max="468" width="12" style="810"/>
    <col min="469" max="469" width="151" style="810" customWidth="1"/>
    <col min="470" max="470" width="60.83203125" style="810" customWidth="1"/>
    <col min="471" max="471" width="50.1640625" style="810" customWidth="1"/>
    <col min="472" max="472" width="41" style="810" customWidth="1"/>
    <col min="473" max="473" width="42.83203125" style="810" customWidth="1"/>
    <col min="474" max="474" width="43.1640625" style="810" customWidth="1"/>
    <col min="475" max="475" width="60.83203125" style="810" customWidth="1"/>
    <col min="476" max="476" width="50.1640625" style="810" customWidth="1"/>
    <col min="477" max="477" width="60.83203125" style="810" customWidth="1"/>
    <col min="478" max="478" width="50" style="810" customWidth="1"/>
    <col min="479" max="479" width="42.83203125" style="810" customWidth="1"/>
    <col min="480" max="480" width="42.1640625" style="810" customWidth="1"/>
    <col min="481" max="481" width="61" style="810" customWidth="1"/>
    <col min="482" max="482" width="50" style="810" customWidth="1"/>
    <col min="483" max="483" width="58.1640625" style="810" customWidth="1"/>
    <col min="484" max="484" width="52.83203125" style="810" customWidth="1"/>
    <col min="485" max="485" width="151" style="810" customWidth="1"/>
    <col min="486" max="486" width="12" style="810"/>
    <col min="487" max="487" width="22.5" style="810" customWidth="1"/>
    <col min="488" max="724" width="12" style="810"/>
    <col min="725" max="725" width="151" style="810" customWidth="1"/>
    <col min="726" max="726" width="60.83203125" style="810" customWidth="1"/>
    <col min="727" max="727" width="50.1640625" style="810" customWidth="1"/>
    <col min="728" max="728" width="41" style="810" customWidth="1"/>
    <col min="729" max="729" width="42.83203125" style="810" customWidth="1"/>
    <col min="730" max="730" width="43.1640625" style="810" customWidth="1"/>
    <col min="731" max="731" width="60.83203125" style="810" customWidth="1"/>
    <col min="732" max="732" width="50.1640625" style="810" customWidth="1"/>
    <col min="733" max="733" width="60.83203125" style="810" customWidth="1"/>
    <col min="734" max="734" width="50" style="810" customWidth="1"/>
    <col min="735" max="735" width="42.83203125" style="810" customWidth="1"/>
    <col min="736" max="736" width="42.1640625" style="810" customWidth="1"/>
    <col min="737" max="737" width="61" style="810" customWidth="1"/>
    <col min="738" max="738" width="50" style="810" customWidth="1"/>
    <col min="739" max="739" width="58.1640625" style="810" customWidth="1"/>
    <col min="740" max="740" width="52.83203125" style="810" customWidth="1"/>
    <col min="741" max="741" width="151" style="810" customWidth="1"/>
    <col min="742" max="742" width="12" style="810"/>
    <col min="743" max="743" width="22.5" style="810" customWidth="1"/>
    <col min="744" max="980" width="12" style="810"/>
    <col min="981" max="981" width="151" style="810" customWidth="1"/>
    <col min="982" max="982" width="60.83203125" style="810" customWidth="1"/>
    <col min="983" max="983" width="50.1640625" style="810" customWidth="1"/>
    <col min="984" max="984" width="41" style="810" customWidth="1"/>
    <col min="985" max="985" width="42.83203125" style="810" customWidth="1"/>
    <col min="986" max="986" width="43.1640625" style="810" customWidth="1"/>
    <col min="987" max="987" width="60.83203125" style="810" customWidth="1"/>
    <col min="988" max="988" width="50.1640625" style="810" customWidth="1"/>
    <col min="989" max="989" width="60.83203125" style="810" customWidth="1"/>
    <col min="990" max="990" width="50" style="810" customWidth="1"/>
    <col min="991" max="991" width="42.83203125" style="810" customWidth="1"/>
    <col min="992" max="992" width="42.1640625" style="810" customWidth="1"/>
    <col min="993" max="993" width="61" style="810" customWidth="1"/>
    <col min="994" max="994" width="50" style="810" customWidth="1"/>
    <col min="995" max="995" width="58.1640625" style="810" customWidth="1"/>
    <col min="996" max="996" width="52.83203125" style="810" customWidth="1"/>
    <col min="997" max="997" width="151" style="810" customWidth="1"/>
    <col min="998" max="998" width="12" style="810"/>
    <col min="999" max="999" width="22.5" style="810" customWidth="1"/>
    <col min="1000" max="1236" width="12" style="810"/>
    <col min="1237" max="1237" width="151" style="810" customWidth="1"/>
    <col min="1238" max="1238" width="60.83203125" style="810" customWidth="1"/>
    <col min="1239" max="1239" width="50.1640625" style="810" customWidth="1"/>
    <col min="1240" max="1240" width="41" style="810" customWidth="1"/>
    <col min="1241" max="1241" width="42.83203125" style="810" customWidth="1"/>
    <col min="1242" max="1242" width="43.1640625" style="810" customWidth="1"/>
    <col min="1243" max="1243" width="60.83203125" style="810" customWidth="1"/>
    <col min="1244" max="1244" width="50.1640625" style="810" customWidth="1"/>
    <col min="1245" max="1245" width="60.83203125" style="810" customWidth="1"/>
    <col min="1246" max="1246" width="50" style="810" customWidth="1"/>
    <col min="1247" max="1247" width="42.83203125" style="810" customWidth="1"/>
    <col min="1248" max="1248" width="42.1640625" style="810" customWidth="1"/>
    <col min="1249" max="1249" width="61" style="810" customWidth="1"/>
    <col min="1250" max="1250" width="50" style="810" customWidth="1"/>
    <col min="1251" max="1251" width="58.1640625" style="810" customWidth="1"/>
    <col min="1252" max="1252" width="52.83203125" style="810" customWidth="1"/>
    <col min="1253" max="1253" width="151" style="810" customWidth="1"/>
    <col min="1254" max="1254" width="12" style="810"/>
    <col min="1255" max="1255" width="22.5" style="810" customWidth="1"/>
    <col min="1256" max="1492" width="12" style="810"/>
    <col min="1493" max="1493" width="151" style="810" customWidth="1"/>
    <col min="1494" max="1494" width="60.83203125" style="810" customWidth="1"/>
    <col min="1495" max="1495" width="50.1640625" style="810" customWidth="1"/>
    <col min="1496" max="1496" width="41" style="810" customWidth="1"/>
    <col min="1497" max="1497" width="42.83203125" style="810" customWidth="1"/>
    <col min="1498" max="1498" width="43.1640625" style="810" customWidth="1"/>
    <col min="1499" max="1499" width="60.83203125" style="810" customWidth="1"/>
    <col min="1500" max="1500" width="50.1640625" style="810" customWidth="1"/>
    <col min="1501" max="1501" width="60.83203125" style="810" customWidth="1"/>
    <col min="1502" max="1502" width="50" style="810" customWidth="1"/>
    <col min="1503" max="1503" width="42.83203125" style="810" customWidth="1"/>
    <col min="1504" max="1504" width="42.1640625" style="810" customWidth="1"/>
    <col min="1505" max="1505" width="61" style="810" customWidth="1"/>
    <col min="1506" max="1506" width="50" style="810" customWidth="1"/>
    <col min="1507" max="1507" width="58.1640625" style="810" customWidth="1"/>
    <col min="1508" max="1508" width="52.83203125" style="810" customWidth="1"/>
    <col min="1509" max="1509" width="151" style="810" customWidth="1"/>
    <col min="1510" max="1510" width="12" style="810"/>
    <col min="1511" max="1511" width="22.5" style="810" customWidth="1"/>
    <col min="1512" max="1748" width="12" style="810"/>
    <col min="1749" max="1749" width="151" style="810" customWidth="1"/>
    <col min="1750" max="1750" width="60.83203125" style="810" customWidth="1"/>
    <col min="1751" max="1751" width="50.1640625" style="810" customWidth="1"/>
    <col min="1752" max="1752" width="41" style="810" customWidth="1"/>
    <col min="1753" max="1753" width="42.83203125" style="810" customWidth="1"/>
    <col min="1754" max="1754" width="43.1640625" style="810" customWidth="1"/>
    <col min="1755" max="1755" width="60.83203125" style="810" customWidth="1"/>
    <col min="1756" max="1756" width="50.1640625" style="810" customWidth="1"/>
    <col min="1757" max="1757" width="60.83203125" style="810" customWidth="1"/>
    <col min="1758" max="1758" width="50" style="810" customWidth="1"/>
    <col min="1759" max="1759" width="42.83203125" style="810" customWidth="1"/>
    <col min="1760" max="1760" width="42.1640625" style="810" customWidth="1"/>
    <col min="1761" max="1761" width="61" style="810" customWidth="1"/>
    <col min="1762" max="1762" width="50" style="810" customWidth="1"/>
    <col min="1763" max="1763" width="58.1640625" style="810" customWidth="1"/>
    <col min="1764" max="1764" width="52.83203125" style="810" customWidth="1"/>
    <col min="1765" max="1765" width="151" style="810" customWidth="1"/>
    <col min="1766" max="1766" width="12" style="810"/>
    <col min="1767" max="1767" width="22.5" style="810" customWidth="1"/>
    <col min="1768" max="2004" width="12" style="810"/>
    <col min="2005" max="2005" width="151" style="810" customWidth="1"/>
    <col min="2006" max="2006" width="60.83203125" style="810" customWidth="1"/>
    <col min="2007" max="2007" width="50.1640625" style="810" customWidth="1"/>
    <col min="2008" max="2008" width="41" style="810" customWidth="1"/>
    <col min="2009" max="2009" width="42.83203125" style="810" customWidth="1"/>
    <col min="2010" max="2010" width="43.1640625" style="810" customWidth="1"/>
    <col min="2011" max="2011" width="60.83203125" style="810" customWidth="1"/>
    <col min="2012" max="2012" width="50.1640625" style="810" customWidth="1"/>
    <col min="2013" max="2013" width="60.83203125" style="810" customWidth="1"/>
    <col min="2014" max="2014" width="50" style="810" customWidth="1"/>
    <col min="2015" max="2015" width="42.83203125" style="810" customWidth="1"/>
    <col min="2016" max="2016" width="42.1640625" style="810" customWidth="1"/>
    <col min="2017" max="2017" width="61" style="810" customWidth="1"/>
    <col min="2018" max="2018" width="50" style="810" customWidth="1"/>
    <col min="2019" max="2019" width="58.1640625" style="810" customWidth="1"/>
    <col min="2020" max="2020" width="52.83203125" style="810" customWidth="1"/>
    <col min="2021" max="2021" width="151" style="810" customWidth="1"/>
    <col min="2022" max="2022" width="12" style="810"/>
    <col min="2023" max="2023" width="22.5" style="810" customWidth="1"/>
    <col min="2024" max="2260" width="12" style="810"/>
    <col min="2261" max="2261" width="151" style="810" customWidth="1"/>
    <col min="2262" max="2262" width="60.83203125" style="810" customWidth="1"/>
    <col min="2263" max="2263" width="50.1640625" style="810" customWidth="1"/>
    <col min="2264" max="2264" width="41" style="810" customWidth="1"/>
    <col min="2265" max="2265" width="42.83203125" style="810" customWidth="1"/>
    <col min="2266" max="2266" width="43.1640625" style="810" customWidth="1"/>
    <col min="2267" max="2267" width="60.83203125" style="810" customWidth="1"/>
    <col min="2268" max="2268" width="50.1640625" style="810" customWidth="1"/>
    <col min="2269" max="2269" width="60.83203125" style="810" customWidth="1"/>
    <col min="2270" max="2270" width="50" style="810" customWidth="1"/>
    <col min="2271" max="2271" width="42.83203125" style="810" customWidth="1"/>
    <col min="2272" max="2272" width="42.1640625" style="810" customWidth="1"/>
    <col min="2273" max="2273" width="61" style="810" customWidth="1"/>
    <col min="2274" max="2274" width="50" style="810" customWidth="1"/>
    <col min="2275" max="2275" width="58.1640625" style="810" customWidth="1"/>
    <col min="2276" max="2276" width="52.83203125" style="810" customWidth="1"/>
    <col min="2277" max="2277" width="151" style="810" customWidth="1"/>
    <col min="2278" max="2278" width="12" style="810"/>
    <col min="2279" max="2279" width="22.5" style="810" customWidth="1"/>
    <col min="2280" max="2516" width="12" style="810"/>
    <col min="2517" max="2517" width="151" style="810" customWidth="1"/>
    <col min="2518" max="2518" width="60.83203125" style="810" customWidth="1"/>
    <col min="2519" max="2519" width="50.1640625" style="810" customWidth="1"/>
    <col min="2520" max="2520" width="41" style="810" customWidth="1"/>
    <col min="2521" max="2521" width="42.83203125" style="810" customWidth="1"/>
    <col min="2522" max="2522" width="43.1640625" style="810" customWidth="1"/>
    <col min="2523" max="2523" width="60.83203125" style="810" customWidth="1"/>
    <col min="2524" max="2524" width="50.1640625" style="810" customWidth="1"/>
    <col min="2525" max="2525" width="60.83203125" style="810" customWidth="1"/>
    <col min="2526" max="2526" width="50" style="810" customWidth="1"/>
    <col min="2527" max="2527" width="42.83203125" style="810" customWidth="1"/>
    <col min="2528" max="2528" width="42.1640625" style="810" customWidth="1"/>
    <col min="2529" max="2529" width="61" style="810" customWidth="1"/>
    <col min="2530" max="2530" width="50" style="810" customWidth="1"/>
    <col min="2531" max="2531" width="58.1640625" style="810" customWidth="1"/>
    <col min="2532" max="2532" width="52.83203125" style="810" customWidth="1"/>
    <col min="2533" max="2533" width="151" style="810" customWidth="1"/>
    <col min="2534" max="2534" width="12" style="810"/>
    <col min="2535" max="2535" width="22.5" style="810" customWidth="1"/>
    <col min="2536" max="2772" width="12" style="810"/>
    <col min="2773" max="2773" width="151" style="810" customWidth="1"/>
    <col min="2774" max="2774" width="60.83203125" style="810" customWidth="1"/>
    <col min="2775" max="2775" width="50.1640625" style="810" customWidth="1"/>
    <col min="2776" max="2776" width="41" style="810" customWidth="1"/>
    <col min="2777" max="2777" width="42.83203125" style="810" customWidth="1"/>
    <col min="2778" max="2778" width="43.1640625" style="810" customWidth="1"/>
    <col min="2779" max="2779" width="60.83203125" style="810" customWidth="1"/>
    <col min="2780" max="2780" width="50.1640625" style="810" customWidth="1"/>
    <col min="2781" max="2781" width="60.83203125" style="810" customWidth="1"/>
    <col min="2782" max="2782" width="50" style="810" customWidth="1"/>
    <col min="2783" max="2783" width="42.83203125" style="810" customWidth="1"/>
    <col min="2784" max="2784" width="42.1640625" style="810" customWidth="1"/>
    <col min="2785" max="2785" width="61" style="810" customWidth="1"/>
    <col min="2786" max="2786" width="50" style="810" customWidth="1"/>
    <col min="2787" max="2787" width="58.1640625" style="810" customWidth="1"/>
    <col min="2788" max="2788" width="52.83203125" style="810" customWidth="1"/>
    <col min="2789" max="2789" width="151" style="810" customWidth="1"/>
    <col min="2790" max="2790" width="12" style="810"/>
    <col min="2791" max="2791" width="22.5" style="810" customWidth="1"/>
    <col min="2792" max="3028" width="12" style="810"/>
    <col min="3029" max="3029" width="151" style="810" customWidth="1"/>
    <col min="3030" max="3030" width="60.83203125" style="810" customWidth="1"/>
    <col min="3031" max="3031" width="50.1640625" style="810" customWidth="1"/>
    <col min="3032" max="3032" width="41" style="810" customWidth="1"/>
    <col min="3033" max="3033" width="42.83203125" style="810" customWidth="1"/>
    <col min="3034" max="3034" width="43.1640625" style="810" customWidth="1"/>
    <col min="3035" max="3035" width="60.83203125" style="810" customWidth="1"/>
    <col min="3036" max="3036" width="50.1640625" style="810" customWidth="1"/>
    <col min="3037" max="3037" width="60.83203125" style="810" customWidth="1"/>
    <col min="3038" max="3038" width="50" style="810" customWidth="1"/>
    <col min="3039" max="3039" width="42.83203125" style="810" customWidth="1"/>
    <col min="3040" max="3040" width="42.1640625" style="810" customWidth="1"/>
    <col min="3041" max="3041" width="61" style="810" customWidth="1"/>
    <col min="3042" max="3042" width="50" style="810" customWidth="1"/>
    <col min="3043" max="3043" width="58.1640625" style="810" customWidth="1"/>
    <col min="3044" max="3044" width="52.83203125" style="810" customWidth="1"/>
    <col min="3045" max="3045" width="151" style="810" customWidth="1"/>
    <col min="3046" max="3046" width="12" style="810"/>
    <col min="3047" max="3047" width="22.5" style="810" customWidth="1"/>
    <col min="3048" max="3284" width="12" style="810"/>
    <col min="3285" max="3285" width="151" style="810" customWidth="1"/>
    <col min="3286" max="3286" width="60.83203125" style="810" customWidth="1"/>
    <col min="3287" max="3287" width="50.1640625" style="810" customWidth="1"/>
    <col min="3288" max="3288" width="41" style="810" customWidth="1"/>
    <col min="3289" max="3289" width="42.83203125" style="810" customWidth="1"/>
    <col min="3290" max="3290" width="43.1640625" style="810" customWidth="1"/>
    <col min="3291" max="3291" width="60.83203125" style="810" customWidth="1"/>
    <col min="3292" max="3292" width="50.1640625" style="810" customWidth="1"/>
    <col min="3293" max="3293" width="60.83203125" style="810" customWidth="1"/>
    <col min="3294" max="3294" width="50" style="810" customWidth="1"/>
    <col min="3295" max="3295" width="42.83203125" style="810" customWidth="1"/>
    <col min="3296" max="3296" width="42.1640625" style="810" customWidth="1"/>
    <col min="3297" max="3297" width="61" style="810" customWidth="1"/>
    <col min="3298" max="3298" width="50" style="810" customWidth="1"/>
    <col min="3299" max="3299" width="58.1640625" style="810" customWidth="1"/>
    <col min="3300" max="3300" width="52.83203125" style="810" customWidth="1"/>
    <col min="3301" max="3301" width="151" style="810" customWidth="1"/>
    <col min="3302" max="3302" width="12" style="810"/>
    <col min="3303" max="3303" width="22.5" style="810" customWidth="1"/>
    <col min="3304" max="3540" width="12" style="810"/>
    <col min="3541" max="3541" width="151" style="810" customWidth="1"/>
    <col min="3542" max="3542" width="60.83203125" style="810" customWidth="1"/>
    <col min="3543" max="3543" width="50.1640625" style="810" customWidth="1"/>
    <col min="3544" max="3544" width="41" style="810" customWidth="1"/>
    <col min="3545" max="3545" width="42.83203125" style="810" customWidth="1"/>
    <col min="3546" max="3546" width="43.1640625" style="810" customWidth="1"/>
    <col min="3547" max="3547" width="60.83203125" style="810" customWidth="1"/>
    <col min="3548" max="3548" width="50.1640625" style="810" customWidth="1"/>
    <col min="3549" max="3549" width="60.83203125" style="810" customWidth="1"/>
    <col min="3550" max="3550" width="50" style="810" customWidth="1"/>
    <col min="3551" max="3551" width="42.83203125" style="810" customWidth="1"/>
    <col min="3552" max="3552" width="42.1640625" style="810" customWidth="1"/>
    <col min="3553" max="3553" width="61" style="810" customWidth="1"/>
    <col min="3554" max="3554" width="50" style="810" customWidth="1"/>
    <col min="3555" max="3555" width="58.1640625" style="810" customWidth="1"/>
    <col min="3556" max="3556" width="52.83203125" style="810" customWidth="1"/>
    <col min="3557" max="3557" width="151" style="810" customWidth="1"/>
    <col min="3558" max="3558" width="12" style="810"/>
    <col min="3559" max="3559" width="22.5" style="810" customWidth="1"/>
    <col min="3560" max="3796" width="12" style="810"/>
    <col min="3797" max="3797" width="151" style="810" customWidth="1"/>
    <col min="3798" max="3798" width="60.83203125" style="810" customWidth="1"/>
    <col min="3799" max="3799" width="50.1640625" style="810" customWidth="1"/>
    <col min="3800" max="3800" width="41" style="810" customWidth="1"/>
    <col min="3801" max="3801" width="42.83203125" style="810" customWidth="1"/>
    <col min="3802" max="3802" width="43.1640625" style="810" customWidth="1"/>
    <col min="3803" max="3803" width="60.83203125" style="810" customWidth="1"/>
    <col min="3804" max="3804" width="50.1640625" style="810" customWidth="1"/>
    <col min="3805" max="3805" width="60.83203125" style="810" customWidth="1"/>
    <col min="3806" max="3806" width="50" style="810" customWidth="1"/>
    <col min="3807" max="3807" width="42.83203125" style="810" customWidth="1"/>
    <col min="3808" max="3808" width="42.1640625" style="810" customWidth="1"/>
    <col min="3809" max="3809" width="61" style="810" customWidth="1"/>
    <col min="3810" max="3810" width="50" style="810" customWidth="1"/>
    <col min="3811" max="3811" width="58.1640625" style="810" customWidth="1"/>
    <col min="3812" max="3812" width="52.83203125" style="810" customWidth="1"/>
    <col min="3813" max="3813" width="151" style="810" customWidth="1"/>
    <col min="3814" max="3814" width="12" style="810"/>
    <col min="3815" max="3815" width="22.5" style="810" customWidth="1"/>
    <col min="3816" max="4052" width="12" style="810"/>
    <col min="4053" max="4053" width="151" style="810" customWidth="1"/>
    <col min="4054" max="4054" width="60.83203125" style="810" customWidth="1"/>
    <col min="4055" max="4055" width="50.1640625" style="810" customWidth="1"/>
    <col min="4056" max="4056" width="41" style="810" customWidth="1"/>
    <col min="4057" max="4057" width="42.83203125" style="810" customWidth="1"/>
    <col min="4058" max="4058" width="43.1640625" style="810" customWidth="1"/>
    <col min="4059" max="4059" width="60.83203125" style="810" customWidth="1"/>
    <col min="4060" max="4060" width="50.1640625" style="810" customWidth="1"/>
    <col min="4061" max="4061" width="60.83203125" style="810" customWidth="1"/>
    <col min="4062" max="4062" width="50" style="810" customWidth="1"/>
    <col min="4063" max="4063" width="42.83203125" style="810" customWidth="1"/>
    <col min="4064" max="4064" width="42.1640625" style="810" customWidth="1"/>
    <col min="4065" max="4065" width="61" style="810" customWidth="1"/>
    <col min="4066" max="4066" width="50" style="810" customWidth="1"/>
    <col min="4067" max="4067" width="58.1640625" style="810" customWidth="1"/>
    <col min="4068" max="4068" width="52.83203125" style="810" customWidth="1"/>
    <col min="4069" max="4069" width="151" style="810" customWidth="1"/>
    <col min="4070" max="4070" width="12" style="810"/>
    <col min="4071" max="4071" width="22.5" style="810" customWidth="1"/>
    <col min="4072" max="4308" width="12" style="810"/>
    <col min="4309" max="4309" width="151" style="810" customWidth="1"/>
    <col min="4310" max="4310" width="60.83203125" style="810" customWidth="1"/>
    <col min="4311" max="4311" width="50.1640625" style="810" customWidth="1"/>
    <col min="4312" max="4312" width="41" style="810" customWidth="1"/>
    <col min="4313" max="4313" width="42.83203125" style="810" customWidth="1"/>
    <col min="4314" max="4314" width="43.1640625" style="810" customWidth="1"/>
    <col min="4315" max="4315" width="60.83203125" style="810" customWidth="1"/>
    <col min="4316" max="4316" width="50.1640625" style="810" customWidth="1"/>
    <col min="4317" max="4317" width="60.83203125" style="810" customWidth="1"/>
    <col min="4318" max="4318" width="50" style="810" customWidth="1"/>
    <col min="4319" max="4319" width="42.83203125" style="810" customWidth="1"/>
    <col min="4320" max="4320" width="42.1640625" style="810" customWidth="1"/>
    <col min="4321" max="4321" width="61" style="810" customWidth="1"/>
    <col min="4322" max="4322" width="50" style="810" customWidth="1"/>
    <col min="4323" max="4323" width="58.1640625" style="810" customWidth="1"/>
    <col min="4324" max="4324" width="52.83203125" style="810" customWidth="1"/>
    <col min="4325" max="4325" width="151" style="810" customWidth="1"/>
    <col min="4326" max="4326" width="12" style="810"/>
    <col min="4327" max="4327" width="22.5" style="810" customWidth="1"/>
    <col min="4328" max="4564" width="12" style="810"/>
    <col min="4565" max="4565" width="151" style="810" customWidth="1"/>
    <col min="4566" max="4566" width="60.83203125" style="810" customWidth="1"/>
    <col min="4567" max="4567" width="50.1640625" style="810" customWidth="1"/>
    <col min="4568" max="4568" width="41" style="810" customWidth="1"/>
    <col min="4569" max="4569" width="42.83203125" style="810" customWidth="1"/>
    <col min="4570" max="4570" width="43.1640625" style="810" customWidth="1"/>
    <col min="4571" max="4571" width="60.83203125" style="810" customWidth="1"/>
    <col min="4572" max="4572" width="50.1640625" style="810" customWidth="1"/>
    <col min="4573" max="4573" width="60.83203125" style="810" customWidth="1"/>
    <col min="4574" max="4574" width="50" style="810" customWidth="1"/>
    <col min="4575" max="4575" width="42.83203125" style="810" customWidth="1"/>
    <col min="4576" max="4576" width="42.1640625" style="810" customWidth="1"/>
    <col min="4577" max="4577" width="61" style="810" customWidth="1"/>
    <col min="4578" max="4578" width="50" style="810" customWidth="1"/>
    <col min="4579" max="4579" width="58.1640625" style="810" customWidth="1"/>
    <col min="4580" max="4580" width="52.83203125" style="810" customWidth="1"/>
    <col min="4581" max="4581" width="151" style="810" customWidth="1"/>
    <col min="4582" max="4582" width="12" style="810"/>
    <col min="4583" max="4583" width="22.5" style="810" customWidth="1"/>
    <col min="4584" max="4820" width="12" style="810"/>
    <col min="4821" max="4821" width="151" style="810" customWidth="1"/>
    <col min="4822" max="4822" width="60.83203125" style="810" customWidth="1"/>
    <col min="4823" max="4823" width="50.1640625" style="810" customWidth="1"/>
    <col min="4824" max="4824" width="41" style="810" customWidth="1"/>
    <col min="4825" max="4825" width="42.83203125" style="810" customWidth="1"/>
    <col min="4826" max="4826" width="43.1640625" style="810" customWidth="1"/>
    <col min="4827" max="4827" width="60.83203125" style="810" customWidth="1"/>
    <col min="4828" max="4828" width="50.1640625" style="810" customWidth="1"/>
    <col min="4829" max="4829" width="60.83203125" style="810" customWidth="1"/>
    <col min="4830" max="4830" width="50" style="810" customWidth="1"/>
    <col min="4831" max="4831" width="42.83203125" style="810" customWidth="1"/>
    <col min="4832" max="4832" width="42.1640625" style="810" customWidth="1"/>
    <col min="4833" max="4833" width="61" style="810" customWidth="1"/>
    <col min="4834" max="4834" width="50" style="810" customWidth="1"/>
    <col min="4835" max="4835" width="58.1640625" style="810" customWidth="1"/>
    <col min="4836" max="4836" width="52.83203125" style="810" customWidth="1"/>
    <col min="4837" max="4837" width="151" style="810" customWidth="1"/>
    <col min="4838" max="4838" width="12" style="810"/>
    <col min="4839" max="4839" width="22.5" style="810" customWidth="1"/>
    <col min="4840" max="5076" width="12" style="810"/>
    <col min="5077" max="5077" width="151" style="810" customWidth="1"/>
    <col min="5078" max="5078" width="60.83203125" style="810" customWidth="1"/>
    <col min="5079" max="5079" width="50.1640625" style="810" customWidth="1"/>
    <col min="5080" max="5080" width="41" style="810" customWidth="1"/>
    <col min="5081" max="5081" width="42.83203125" style="810" customWidth="1"/>
    <col min="5082" max="5082" width="43.1640625" style="810" customWidth="1"/>
    <col min="5083" max="5083" width="60.83203125" style="810" customWidth="1"/>
    <col min="5084" max="5084" width="50.1640625" style="810" customWidth="1"/>
    <col min="5085" max="5085" width="60.83203125" style="810" customWidth="1"/>
    <col min="5086" max="5086" width="50" style="810" customWidth="1"/>
    <col min="5087" max="5087" width="42.83203125" style="810" customWidth="1"/>
    <col min="5088" max="5088" width="42.1640625" style="810" customWidth="1"/>
    <col min="5089" max="5089" width="61" style="810" customWidth="1"/>
    <col min="5090" max="5090" width="50" style="810" customWidth="1"/>
    <col min="5091" max="5091" width="58.1640625" style="810" customWidth="1"/>
    <col min="5092" max="5092" width="52.83203125" style="810" customWidth="1"/>
    <col min="5093" max="5093" width="151" style="810" customWidth="1"/>
    <col min="5094" max="5094" width="12" style="810"/>
    <col min="5095" max="5095" width="22.5" style="810" customWidth="1"/>
    <col min="5096" max="5332" width="12" style="810"/>
    <col min="5333" max="5333" width="151" style="810" customWidth="1"/>
    <col min="5334" max="5334" width="60.83203125" style="810" customWidth="1"/>
    <col min="5335" max="5335" width="50.1640625" style="810" customWidth="1"/>
    <col min="5336" max="5336" width="41" style="810" customWidth="1"/>
    <col min="5337" max="5337" width="42.83203125" style="810" customWidth="1"/>
    <col min="5338" max="5338" width="43.1640625" style="810" customWidth="1"/>
    <col min="5339" max="5339" width="60.83203125" style="810" customWidth="1"/>
    <col min="5340" max="5340" width="50.1640625" style="810" customWidth="1"/>
    <col min="5341" max="5341" width="60.83203125" style="810" customWidth="1"/>
    <col min="5342" max="5342" width="50" style="810" customWidth="1"/>
    <col min="5343" max="5343" width="42.83203125" style="810" customWidth="1"/>
    <col min="5344" max="5344" width="42.1640625" style="810" customWidth="1"/>
    <col min="5345" max="5345" width="61" style="810" customWidth="1"/>
    <col min="5346" max="5346" width="50" style="810" customWidth="1"/>
    <col min="5347" max="5347" width="58.1640625" style="810" customWidth="1"/>
    <col min="5348" max="5348" width="52.83203125" style="810" customWidth="1"/>
    <col min="5349" max="5349" width="151" style="810" customWidth="1"/>
    <col min="5350" max="5350" width="12" style="810"/>
    <col min="5351" max="5351" width="22.5" style="810" customWidth="1"/>
    <col min="5352" max="5588" width="12" style="810"/>
    <col min="5589" max="5589" width="151" style="810" customWidth="1"/>
    <col min="5590" max="5590" width="60.83203125" style="810" customWidth="1"/>
    <col min="5591" max="5591" width="50.1640625" style="810" customWidth="1"/>
    <col min="5592" max="5592" width="41" style="810" customWidth="1"/>
    <col min="5593" max="5593" width="42.83203125" style="810" customWidth="1"/>
    <col min="5594" max="5594" width="43.1640625" style="810" customWidth="1"/>
    <col min="5595" max="5595" width="60.83203125" style="810" customWidth="1"/>
    <col min="5596" max="5596" width="50.1640625" style="810" customWidth="1"/>
    <col min="5597" max="5597" width="60.83203125" style="810" customWidth="1"/>
    <col min="5598" max="5598" width="50" style="810" customWidth="1"/>
    <col min="5599" max="5599" width="42.83203125" style="810" customWidth="1"/>
    <col min="5600" max="5600" width="42.1640625" style="810" customWidth="1"/>
    <col min="5601" max="5601" width="61" style="810" customWidth="1"/>
    <col min="5602" max="5602" width="50" style="810" customWidth="1"/>
    <col min="5603" max="5603" width="58.1640625" style="810" customWidth="1"/>
    <col min="5604" max="5604" width="52.83203125" style="810" customWidth="1"/>
    <col min="5605" max="5605" width="151" style="810" customWidth="1"/>
    <col min="5606" max="5606" width="12" style="810"/>
    <col min="5607" max="5607" width="22.5" style="810" customWidth="1"/>
    <col min="5608" max="5844" width="12" style="810"/>
    <col min="5845" max="5845" width="151" style="810" customWidth="1"/>
    <col min="5846" max="5846" width="60.83203125" style="810" customWidth="1"/>
    <col min="5847" max="5847" width="50.1640625" style="810" customWidth="1"/>
    <col min="5848" max="5848" width="41" style="810" customWidth="1"/>
    <col min="5849" max="5849" width="42.83203125" style="810" customWidth="1"/>
    <col min="5850" max="5850" width="43.1640625" style="810" customWidth="1"/>
    <col min="5851" max="5851" width="60.83203125" style="810" customWidth="1"/>
    <col min="5852" max="5852" width="50.1640625" style="810" customWidth="1"/>
    <col min="5853" max="5853" width="60.83203125" style="810" customWidth="1"/>
    <col min="5854" max="5854" width="50" style="810" customWidth="1"/>
    <col min="5855" max="5855" width="42.83203125" style="810" customWidth="1"/>
    <col min="5856" max="5856" width="42.1640625" style="810" customWidth="1"/>
    <col min="5857" max="5857" width="61" style="810" customWidth="1"/>
    <col min="5858" max="5858" width="50" style="810" customWidth="1"/>
    <col min="5859" max="5859" width="58.1640625" style="810" customWidth="1"/>
    <col min="5860" max="5860" width="52.83203125" style="810" customWidth="1"/>
    <col min="5861" max="5861" width="151" style="810" customWidth="1"/>
    <col min="5862" max="5862" width="12" style="810"/>
    <col min="5863" max="5863" width="22.5" style="810" customWidth="1"/>
    <col min="5864" max="6100" width="12" style="810"/>
    <col min="6101" max="6101" width="151" style="810" customWidth="1"/>
    <col min="6102" max="6102" width="60.83203125" style="810" customWidth="1"/>
    <col min="6103" max="6103" width="50.1640625" style="810" customWidth="1"/>
    <col min="6104" max="6104" width="41" style="810" customWidth="1"/>
    <col min="6105" max="6105" width="42.83203125" style="810" customWidth="1"/>
    <col min="6106" max="6106" width="43.1640625" style="810" customWidth="1"/>
    <col min="6107" max="6107" width="60.83203125" style="810" customWidth="1"/>
    <col min="6108" max="6108" width="50.1640625" style="810" customWidth="1"/>
    <col min="6109" max="6109" width="60.83203125" style="810" customWidth="1"/>
    <col min="6110" max="6110" width="50" style="810" customWidth="1"/>
    <col min="6111" max="6111" width="42.83203125" style="810" customWidth="1"/>
    <col min="6112" max="6112" width="42.1640625" style="810" customWidth="1"/>
    <col min="6113" max="6113" width="61" style="810" customWidth="1"/>
    <col min="6114" max="6114" width="50" style="810" customWidth="1"/>
    <col min="6115" max="6115" width="58.1640625" style="810" customWidth="1"/>
    <col min="6116" max="6116" width="52.83203125" style="810" customWidth="1"/>
    <col min="6117" max="6117" width="151" style="810" customWidth="1"/>
    <col min="6118" max="6118" width="12" style="810"/>
    <col min="6119" max="6119" width="22.5" style="810" customWidth="1"/>
    <col min="6120" max="6356" width="12" style="810"/>
    <col min="6357" max="6357" width="151" style="810" customWidth="1"/>
    <col min="6358" max="6358" width="60.83203125" style="810" customWidth="1"/>
    <col min="6359" max="6359" width="50.1640625" style="810" customWidth="1"/>
    <col min="6360" max="6360" width="41" style="810" customWidth="1"/>
    <col min="6361" max="6361" width="42.83203125" style="810" customWidth="1"/>
    <col min="6362" max="6362" width="43.1640625" style="810" customWidth="1"/>
    <col min="6363" max="6363" width="60.83203125" style="810" customWidth="1"/>
    <col min="6364" max="6364" width="50.1640625" style="810" customWidth="1"/>
    <col min="6365" max="6365" width="60.83203125" style="810" customWidth="1"/>
    <col min="6366" max="6366" width="50" style="810" customWidth="1"/>
    <col min="6367" max="6367" width="42.83203125" style="810" customWidth="1"/>
    <col min="6368" max="6368" width="42.1640625" style="810" customWidth="1"/>
    <col min="6369" max="6369" width="61" style="810" customWidth="1"/>
    <col min="6370" max="6370" width="50" style="810" customWidth="1"/>
    <col min="6371" max="6371" width="58.1640625" style="810" customWidth="1"/>
    <col min="6372" max="6372" width="52.83203125" style="810" customWidth="1"/>
    <col min="6373" max="6373" width="151" style="810" customWidth="1"/>
    <col min="6374" max="6374" width="12" style="810"/>
    <col min="6375" max="6375" width="22.5" style="810" customWidth="1"/>
    <col min="6376" max="6612" width="12" style="810"/>
    <col min="6613" max="6613" width="151" style="810" customWidth="1"/>
    <col min="6614" max="6614" width="60.83203125" style="810" customWidth="1"/>
    <col min="6615" max="6615" width="50.1640625" style="810" customWidth="1"/>
    <col min="6616" max="6616" width="41" style="810" customWidth="1"/>
    <col min="6617" max="6617" width="42.83203125" style="810" customWidth="1"/>
    <col min="6618" max="6618" width="43.1640625" style="810" customWidth="1"/>
    <col min="6619" max="6619" width="60.83203125" style="810" customWidth="1"/>
    <col min="6620" max="6620" width="50.1640625" style="810" customWidth="1"/>
    <col min="6621" max="6621" width="60.83203125" style="810" customWidth="1"/>
    <col min="6622" max="6622" width="50" style="810" customWidth="1"/>
    <col min="6623" max="6623" width="42.83203125" style="810" customWidth="1"/>
    <col min="6624" max="6624" width="42.1640625" style="810" customWidth="1"/>
    <col min="6625" max="6625" width="61" style="810" customWidth="1"/>
    <col min="6626" max="6626" width="50" style="810" customWidth="1"/>
    <col min="6627" max="6627" width="58.1640625" style="810" customWidth="1"/>
    <col min="6628" max="6628" width="52.83203125" style="810" customWidth="1"/>
    <col min="6629" max="6629" width="151" style="810" customWidth="1"/>
    <col min="6630" max="6630" width="12" style="810"/>
    <col min="6631" max="6631" width="22.5" style="810" customWidth="1"/>
    <col min="6632" max="6868" width="12" style="810"/>
    <col min="6869" max="6869" width="151" style="810" customWidth="1"/>
    <col min="6870" max="6870" width="60.83203125" style="810" customWidth="1"/>
    <col min="6871" max="6871" width="50.1640625" style="810" customWidth="1"/>
    <col min="6872" max="6872" width="41" style="810" customWidth="1"/>
    <col min="6873" max="6873" width="42.83203125" style="810" customWidth="1"/>
    <col min="6874" max="6874" width="43.1640625" style="810" customWidth="1"/>
    <col min="6875" max="6875" width="60.83203125" style="810" customWidth="1"/>
    <col min="6876" max="6876" width="50.1640625" style="810" customWidth="1"/>
    <col min="6877" max="6877" width="60.83203125" style="810" customWidth="1"/>
    <col min="6878" max="6878" width="50" style="810" customWidth="1"/>
    <col min="6879" max="6879" width="42.83203125" style="810" customWidth="1"/>
    <col min="6880" max="6880" width="42.1640625" style="810" customWidth="1"/>
    <col min="6881" max="6881" width="61" style="810" customWidth="1"/>
    <col min="6882" max="6882" width="50" style="810" customWidth="1"/>
    <col min="6883" max="6883" width="58.1640625" style="810" customWidth="1"/>
    <col min="6884" max="6884" width="52.83203125" style="810" customWidth="1"/>
    <col min="6885" max="6885" width="151" style="810" customWidth="1"/>
    <col min="6886" max="6886" width="12" style="810"/>
    <col min="6887" max="6887" width="22.5" style="810" customWidth="1"/>
    <col min="6888" max="7124" width="12" style="810"/>
    <col min="7125" max="7125" width="151" style="810" customWidth="1"/>
    <col min="7126" max="7126" width="60.83203125" style="810" customWidth="1"/>
    <col min="7127" max="7127" width="50.1640625" style="810" customWidth="1"/>
    <col min="7128" max="7128" width="41" style="810" customWidth="1"/>
    <col min="7129" max="7129" width="42.83203125" style="810" customWidth="1"/>
    <col min="7130" max="7130" width="43.1640625" style="810" customWidth="1"/>
    <col min="7131" max="7131" width="60.83203125" style="810" customWidth="1"/>
    <col min="7132" max="7132" width="50.1640625" style="810" customWidth="1"/>
    <col min="7133" max="7133" width="60.83203125" style="810" customWidth="1"/>
    <col min="7134" max="7134" width="50" style="810" customWidth="1"/>
    <col min="7135" max="7135" width="42.83203125" style="810" customWidth="1"/>
    <col min="7136" max="7136" width="42.1640625" style="810" customWidth="1"/>
    <col min="7137" max="7137" width="61" style="810" customWidth="1"/>
    <col min="7138" max="7138" width="50" style="810" customWidth="1"/>
    <col min="7139" max="7139" width="58.1640625" style="810" customWidth="1"/>
    <col min="7140" max="7140" width="52.83203125" style="810" customWidth="1"/>
    <col min="7141" max="7141" width="151" style="810" customWidth="1"/>
    <col min="7142" max="7142" width="12" style="810"/>
    <col min="7143" max="7143" width="22.5" style="810" customWidth="1"/>
    <col min="7144" max="7380" width="12" style="810"/>
    <col min="7381" max="7381" width="151" style="810" customWidth="1"/>
    <col min="7382" max="7382" width="60.83203125" style="810" customWidth="1"/>
    <col min="7383" max="7383" width="50.1640625" style="810" customWidth="1"/>
    <col min="7384" max="7384" width="41" style="810" customWidth="1"/>
    <col min="7385" max="7385" width="42.83203125" style="810" customWidth="1"/>
    <col min="7386" max="7386" width="43.1640625" style="810" customWidth="1"/>
    <col min="7387" max="7387" width="60.83203125" style="810" customWidth="1"/>
    <col min="7388" max="7388" width="50.1640625" style="810" customWidth="1"/>
    <col min="7389" max="7389" width="60.83203125" style="810" customWidth="1"/>
    <col min="7390" max="7390" width="50" style="810" customWidth="1"/>
    <col min="7391" max="7391" width="42.83203125" style="810" customWidth="1"/>
    <col min="7392" max="7392" width="42.1640625" style="810" customWidth="1"/>
    <col min="7393" max="7393" width="61" style="810" customWidth="1"/>
    <col min="7394" max="7394" width="50" style="810" customWidth="1"/>
    <col min="7395" max="7395" width="58.1640625" style="810" customWidth="1"/>
    <col min="7396" max="7396" width="52.83203125" style="810" customWidth="1"/>
    <col min="7397" max="7397" width="151" style="810" customWidth="1"/>
    <col min="7398" max="7398" width="12" style="810"/>
    <col min="7399" max="7399" width="22.5" style="810" customWidth="1"/>
    <col min="7400" max="7636" width="12" style="810"/>
    <col min="7637" max="7637" width="151" style="810" customWidth="1"/>
    <col min="7638" max="7638" width="60.83203125" style="810" customWidth="1"/>
    <col min="7639" max="7639" width="50.1640625" style="810" customWidth="1"/>
    <col min="7640" max="7640" width="41" style="810" customWidth="1"/>
    <col min="7641" max="7641" width="42.83203125" style="810" customWidth="1"/>
    <col min="7642" max="7642" width="43.1640625" style="810" customWidth="1"/>
    <col min="7643" max="7643" width="60.83203125" style="810" customWidth="1"/>
    <col min="7644" max="7644" width="50.1640625" style="810" customWidth="1"/>
    <col min="7645" max="7645" width="60.83203125" style="810" customWidth="1"/>
    <col min="7646" max="7646" width="50" style="810" customWidth="1"/>
    <col min="7647" max="7647" width="42.83203125" style="810" customWidth="1"/>
    <col min="7648" max="7648" width="42.1640625" style="810" customWidth="1"/>
    <col min="7649" max="7649" width="61" style="810" customWidth="1"/>
    <col min="7650" max="7650" width="50" style="810" customWidth="1"/>
    <col min="7651" max="7651" width="58.1640625" style="810" customWidth="1"/>
    <col min="7652" max="7652" width="52.83203125" style="810" customWidth="1"/>
    <col min="7653" max="7653" width="151" style="810" customWidth="1"/>
    <col min="7654" max="7654" width="12" style="810"/>
    <col min="7655" max="7655" width="22.5" style="810" customWidth="1"/>
    <col min="7656" max="7892" width="12" style="810"/>
    <col min="7893" max="7893" width="151" style="810" customWidth="1"/>
    <col min="7894" max="7894" width="60.83203125" style="810" customWidth="1"/>
    <col min="7895" max="7895" width="50.1640625" style="810" customWidth="1"/>
    <col min="7896" max="7896" width="41" style="810" customWidth="1"/>
    <col min="7897" max="7897" width="42.83203125" style="810" customWidth="1"/>
    <col min="7898" max="7898" width="43.1640625" style="810" customWidth="1"/>
    <col min="7899" max="7899" width="60.83203125" style="810" customWidth="1"/>
    <col min="7900" max="7900" width="50.1640625" style="810" customWidth="1"/>
    <col min="7901" max="7901" width="60.83203125" style="810" customWidth="1"/>
    <col min="7902" max="7902" width="50" style="810" customWidth="1"/>
    <col min="7903" max="7903" width="42.83203125" style="810" customWidth="1"/>
    <col min="7904" max="7904" width="42.1640625" style="810" customWidth="1"/>
    <col min="7905" max="7905" width="61" style="810" customWidth="1"/>
    <col min="7906" max="7906" width="50" style="810" customWidth="1"/>
    <col min="7907" max="7907" width="58.1640625" style="810" customWidth="1"/>
    <col min="7908" max="7908" width="52.83203125" style="810" customWidth="1"/>
    <col min="7909" max="7909" width="151" style="810" customWidth="1"/>
    <col min="7910" max="7910" width="12" style="810"/>
    <col min="7911" max="7911" width="22.5" style="810" customWidth="1"/>
    <col min="7912" max="8148" width="12" style="810"/>
    <col min="8149" max="8149" width="151" style="810" customWidth="1"/>
    <col min="8150" max="8150" width="60.83203125" style="810" customWidth="1"/>
    <col min="8151" max="8151" width="50.1640625" style="810" customWidth="1"/>
    <col min="8152" max="8152" width="41" style="810" customWidth="1"/>
    <col min="8153" max="8153" width="42.83203125" style="810" customWidth="1"/>
    <col min="8154" max="8154" width="43.1640625" style="810" customWidth="1"/>
    <col min="8155" max="8155" width="60.83203125" style="810" customWidth="1"/>
    <col min="8156" max="8156" width="50.1640625" style="810" customWidth="1"/>
    <col min="8157" max="8157" width="60.83203125" style="810" customWidth="1"/>
    <col min="8158" max="8158" width="50" style="810" customWidth="1"/>
    <col min="8159" max="8159" width="42.83203125" style="810" customWidth="1"/>
    <col min="8160" max="8160" width="42.1640625" style="810" customWidth="1"/>
    <col min="8161" max="8161" width="61" style="810" customWidth="1"/>
    <col min="8162" max="8162" width="50" style="810" customWidth="1"/>
    <col min="8163" max="8163" width="58.1640625" style="810" customWidth="1"/>
    <col min="8164" max="8164" width="52.83203125" style="810" customWidth="1"/>
    <col min="8165" max="8165" width="151" style="810" customWidth="1"/>
    <col min="8166" max="8166" width="12" style="810"/>
    <col min="8167" max="8167" width="22.5" style="810" customWidth="1"/>
    <col min="8168" max="8404" width="12" style="810"/>
    <col min="8405" max="8405" width="151" style="810" customWidth="1"/>
    <col min="8406" max="8406" width="60.83203125" style="810" customWidth="1"/>
    <col min="8407" max="8407" width="50.1640625" style="810" customWidth="1"/>
    <col min="8408" max="8408" width="41" style="810" customWidth="1"/>
    <col min="8409" max="8409" width="42.83203125" style="810" customWidth="1"/>
    <col min="8410" max="8410" width="43.1640625" style="810" customWidth="1"/>
    <col min="8411" max="8411" width="60.83203125" style="810" customWidth="1"/>
    <col min="8412" max="8412" width="50.1640625" style="810" customWidth="1"/>
    <col min="8413" max="8413" width="60.83203125" style="810" customWidth="1"/>
    <col min="8414" max="8414" width="50" style="810" customWidth="1"/>
    <col min="8415" max="8415" width="42.83203125" style="810" customWidth="1"/>
    <col min="8416" max="8416" width="42.1640625" style="810" customWidth="1"/>
    <col min="8417" max="8417" width="61" style="810" customWidth="1"/>
    <col min="8418" max="8418" width="50" style="810" customWidth="1"/>
    <col min="8419" max="8419" width="58.1640625" style="810" customWidth="1"/>
    <col min="8420" max="8420" width="52.83203125" style="810" customWidth="1"/>
    <col min="8421" max="8421" width="151" style="810" customWidth="1"/>
    <col min="8422" max="8422" width="12" style="810"/>
    <col min="8423" max="8423" width="22.5" style="810" customWidth="1"/>
    <col min="8424" max="8660" width="12" style="810"/>
    <col min="8661" max="8661" width="151" style="810" customWidth="1"/>
    <col min="8662" max="8662" width="60.83203125" style="810" customWidth="1"/>
    <col min="8663" max="8663" width="50.1640625" style="810" customWidth="1"/>
    <col min="8664" max="8664" width="41" style="810" customWidth="1"/>
    <col min="8665" max="8665" width="42.83203125" style="810" customWidth="1"/>
    <col min="8666" max="8666" width="43.1640625" style="810" customWidth="1"/>
    <col min="8667" max="8667" width="60.83203125" style="810" customWidth="1"/>
    <col min="8668" max="8668" width="50.1640625" style="810" customWidth="1"/>
    <col min="8669" max="8669" width="60.83203125" style="810" customWidth="1"/>
    <col min="8670" max="8670" width="50" style="810" customWidth="1"/>
    <col min="8671" max="8671" width="42.83203125" style="810" customWidth="1"/>
    <col min="8672" max="8672" width="42.1640625" style="810" customWidth="1"/>
    <col min="8673" max="8673" width="61" style="810" customWidth="1"/>
    <col min="8674" max="8674" width="50" style="810" customWidth="1"/>
    <col min="8675" max="8675" width="58.1640625" style="810" customWidth="1"/>
    <col min="8676" max="8676" width="52.83203125" style="810" customWidth="1"/>
    <col min="8677" max="8677" width="151" style="810" customWidth="1"/>
    <col min="8678" max="8678" width="12" style="810"/>
    <col min="8679" max="8679" width="22.5" style="810" customWidth="1"/>
    <col min="8680" max="8916" width="12" style="810"/>
    <col min="8917" max="8917" width="151" style="810" customWidth="1"/>
    <col min="8918" max="8918" width="60.83203125" style="810" customWidth="1"/>
    <col min="8919" max="8919" width="50.1640625" style="810" customWidth="1"/>
    <col min="8920" max="8920" width="41" style="810" customWidth="1"/>
    <col min="8921" max="8921" width="42.83203125" style="810" customWidth="1"/>
    <col min="8922" max="8922" width="43.1640625" style="810" customWidth="1"/>
    <col min="8923" max="8923" width="60.83203125" style="810" customWidth="1"/>
    <col min="8924" max="8924" width="50.1640625" style="810" customWidth="1"/>
    <col min="8925" max="8925" width="60.83203125" style="810" customWidth="1"/>
    <col min="8926" max="8926" width="50" style="810" customWidth="1"/>
    <col min="8927" max="8927" width="42.83203125" style="810" customWidth="1"/>
    <col min="8928" max="8928" width="42.1640625" style="810" customWidth="1"/>
    <col min="8929" max="8929" width="61" style="810" customWidth="1"/>
    <col min="8930" max="8930" width="50" style="810" customWidth="1"/>
    <col min="8931" max="8931" width="58.1640625" style="810" customWidth="1"/>
    <col min="8932" max="8932" width="52.83203125" style="810" customWidth="1"/>
    <col min="8933" max="8933" width="151" style="810" customWidth="1"/>
    <col min="8934" max="8934" width="12" style="810"/>
    <col min="8935" max="8935" width="22.5" style="810" customWidth="1"/>
    <col min="8936" max="9172" width="12" style="810"/>
    <col min="9173" max="9173" width="151" style="810" customWidth="1"/>
    <col min="9174" max="9174" width="60.83203125" style="810" customWidth="1"/>
    <col min="9175" max="9175" width="50.1640625" style="810" customWidth="1"/>
    <col min="9176" max="9176" width="41" style="810" customWidth="1"/>
    <col min="9177" max="9177" width="42.83203125" style="810" customWidth="1"/>
    <col min="9178" max="9178" width="43.1640625" style="810" customWidth="1"/>
    <col min="9179" max="9179" width="60.83203125" style="810" customWidth="1"/>
    <col min="9180" max="9180" width="50.1640625" style="810" customWidth="1"/>
    <col min="9181" max="9181" width="60.83203125" style="810" customWidth="1"/>
    <col min="9182" max="9182" width="50" style="810" customWidth="1"/>
    <col min="9183" max="9183" width="42.83203125" style="810" customWidth="1"/>
    <col min="9184" max="9184" width="42.1640625" style="810" customWidth="1"/>
    <col min="9185" max="9185" width="61" style="810" customWidth="1"/>
    <col min="9186" max="9186" width="50" style="810" customWidth="1"/>
    <col min="9187" max="9187" width="58.1640625" style="810" customWidth="1"/>
    <col min="9188" max="9188" width="52.83203125" style="810" customWidth="1"/>
    <col min="9189" max="9189" width="151" style="810" customWidth="1"/>
    <col min="9190" max="9190" width="12" style="810"/>
    <col min="9191" max="9191" width="22.5" style="810" customWidth="1"/>
    <col min="9192" max="9428" width="12" style="810"/>
    <col min="9429" max="9429" width="151" style="810" customWidth="1"/>
    <col min="9430" max="9430" width="60.83203125" style="810" customWidth="1"/>
    <col min="9431" max="9431" width="50.1640625" style="810" customWidth="1"/>
    <col min="9432" max="9432" width="41" style="810" customWidth="1"/>
    <col min="9433" max="9433" width="42.83203125" style="810" customWidth="1"/>
    <col min="9434" max="9434" width="43.1640625" style="810" customWidth="1"/>
    <col min="9435" max="9435" width="60.83203125" style="810" customWidth="1"/>
    <col min="9436" max="9436" width="50.1640625" style="810" customWidth="1"/>
    <col min="9437" max="9437" width="60.83203125" style="810" customWidth="1"/>
    <col min="9438" max="9438" width="50" style="810" customWidth="1"/>
    <col min="9439" max="9439" width="42.83203125" style="810" customWidth="1"/>
    <col min="9440" max="9440" width="42.1640625" style="810" customWidth="1"/>
    <col min="9441" max="9441" width="61" style="810" customWidth="1"/>
    <col min="9442" max="9442" width="50" style="810" customWidth="1"/>
    <col min="9443" max="9443" width="58.1640625" style="810" customWidth="1"/>
    <col min="9444" max="9444" width="52.83203125" style="810" customWidth="1"/>
    <col min="9445" max="9445" width="151" style="810" customWidth="1"/>
    <col min="9446" max="9446" width="12" style="810"/>
    <col min="9447" max="9447" width="22.5" style="810" customWidth="1"/>
    <col min="9448" max="9684" width="12" style="810"/>
    <col min="9685" max="9685" width="151" style="810" customWidth="1"/>
    <col min="9686" max="9686" width="60.83203125" style="810" customWidth="1"/>
    <col min="9687" max="9687" width="50.1640625" style="810" customWidth="1"/>
    <col min="9688" max="9688" width="41" style="810" customWidth="1"/>
    <col min="9689" max="9689" width="42.83203125" style="810" customWidth="1"/>
    <col min="9690" max="9690" width="43.1640625" style="810" customWidth="1"/>
    <col min="9691" max="9691" width="60.83203125" style="810" customWidth="1"/>
    <col min="9692" max="9692" width="50.1640625" style="810" customWidth="1"/>
    <col min="9693" max="9693" width="60.83203125" style="810" customWidth="1"/>
    <col min="9694" max="9694" width="50" style="810" customWidth="1"/>
    <col min="9695" max="9695" width="42.83203125" style="810" customWidth="1"/>
    <col min="9696" max="9696" width="42.1640625" style="810" customWidth="1"/>
    <col min="9697" max="9697" width="61" style="810" customWidth="1"/>
    <col min="9698" max="9698" width="50" style="810" customWidth="1"/>
    <col min="9699" max="9699" width="58.1640625" style="810" customWidth="1"/>
    <col min="9700" max="9700" width="52.83203125" style="810" customWidth="1"/>
    <col min="9701" max="9701" width="151" style="810" customWidth="1"/>
    <col min="9702" max="9702" width="12" style="810"/>
    <col min="9703" max="9703" width="22.5" style="810" customWidth="1"/>
    <col min="9704" max="9940" width="12" style="810"/>
    <col min="9941" max="9941" width="151" style="810" customWidth="1"/>
    <col min="9942" max="9942" width="60.83203125" style="810" customWidth="1"/>
    <col min="9943" max="9943" width="50.1640625" style="810" customWidth="1"/>
    <col min="9944" max="9944" width="41" style="810" customWidth="1"/>
    <col min="9945" max="9945" width="42.83203125" style="810" customWidth="1"/>
    <col min="9946" max="9946" width="43.1640625" style="810" customWidth="1"/>
    <col min="9947" max="9947" width="60.83203125" style="810" customWidth="1"/>
    <col min="9948" max="9948" width="50.1640625" style="810" customWidth="1"/>
    <col min="9949" max="9949" width="60.83203125" style="810" customWidth="1"/>
    <col min="9950" max="9950" width="50" style="810" customWidth="1"/>
    <col min="9951" max="9951" width="42.83203125" style="810" customWidth="1"/>
    <col min="9952" max="9952" width="42.1640625" style="810" customWidth="1"/>
    <col min="9953" max="9953" width="61" style="810" customWidth="1"/>
    <col min="9954" max="9954" width="50" style="810" customWidth="1"/>
    <col min="9955" max="9955" width="58.1640625" style="810" customWidth="1"/>
    <col min="9956" max="9956" width="52.83203125" style="810" customWidth="1"/>
    <col min="9957" max="9957" width="151" style="810" customWidth="1"/>
    <col min="9958" max="9958" width="12" style="810"/>
    <col min="9959" max="9959" width="22.5" style="810" customWidth="1"/>
    <col min="9960" max="10196" width="12" style="810"/>
    <col min="10197" max="10197" width="151" style="810" customWidth="1"/>
    <col min="10198" max="10198" width="60.83203125" style="810" customWidth="1"/>
    <col min="10199" max="10199" width="50.1640625" style="810" customWidth="1"/>
    <col min="10200" max="10200" width="41" style="810" customWidth="1"/>
    <col min="10201" max="10201" width="42.83203125" style="810" customWidth="1"/>
    <col min="10202" max="10202" width="43.1640625" style="810" customWidth="1"/>
    <col min="10203" max="10203" width="60.83203125" style="810" customWidth="1"/>
    <col min="10204" max="10204" width="50.1640625" style="810" customWidth="1"/>
    <col min="10205" max="10205" width="60.83203125" style="810" customWidth="1"/>
    <col min="10206" max="10206" width="50" style="810" customWidth="1"/>
    <col min="10207" max="10207" width="42.83203125" style="810" customWidth="1"/>
    <col min="10208" max="10208" width="42.1640625" style="810" customWidth="1"/>
    <col min="10209" max="10209" width="61" style="810" customWidth="1"/>
    <col min="10210" max="10210" width="50" style="810" customWidth="1"/>
    <col min="10211" max="10211" width="58.1640625" style="810" customWidth="1"/>
    <col min="10212" max="10212" width="52.83203125" style="810" customWidth="1"/>
    <col min="10213" max="10213" width="151" style="810" customWidth="1"/>
    <col min="10214" max="10214" width="12" style="810"/>
    <col min="10215" max="10215" width="22.5" style="810" customWidth="1"/>
    <col min="10216" max="10452" width="12" style="810"/>
    <col min="10453" max="10453" width="151" style="810" customWidth="1"/>
    <col min="10454" max="10454" width="60.83203125" style="810" customWidth="1"/>
    <col min="10455" max="10455" width="50.1640625" style="810" customWidth="1"/>
    <col min="10456" max="10456" width="41" style="810" customWidth="1"/>
    <col min="10457" max="10457" width="42.83203125" style="810" customWidth="1"/>
    <col min="10458" max="10458" width="43.1640625" style="810" customWidth="1"/>
    <col min="10459" max="10459" width="60.83203125" style="810" customWidth="1"/>
    <col min="10460" max="10460" width="50.1640625" style="810" customWidth="1"/>
    <col min="10461" max="10461" width="60.83203125" style="810" customWidth="1"/>
    <col min="10462" max="10462" width="50" style="810" customWidth="1"/>
    <col min="10463" max="10463" width="42.83203125" style="810" customWidth="1"/>
    <col min="10464" max="10464" width="42.1640625" style="810" customWidth="1"/>
    <col min="10465" max="10465" width="61" style="810" customWidth="1"/>
    <col min="10466" max="10466" width="50" style="810" customWidth="1"/>
    <col min="10467" max="10467" width="58.1640625" style="810" customWidth="1"/>
    <col min="10468" max="10468" width="52.83203125" style="810" customWidth="1"/>
    <col min="10469" max="10469" width="151" style="810" customWidth="1"/>
    <col min="10470" max="10470" width="12" style="810"/>
    <col min="10471" max="10471" width="22.5" style="810" customWidth="1"/>
    <col min="10472" max="10708" width="12" style="810"/>
    <col min="10709" max="10709" width="151" style="810" customWidth="1"/>
    <col min="10710" max="10710" width="60.83203125" style="810" customWidth="1"/>
    <col min="10711" max="10711" width="50.1640625" style="810" customWidth="1"/>
    <col min="10712" max="10712" width="41" style="810" customWidth="1"/>
    <col min="10713" max="10713" width="42.83203125" style="810" customWidth="1"/>
    <col min="10714" max="10714" width="43.1640625" style="810" customWidth="1"/>
    <col min="10715" max="10715" width="60.83203125" style="810" customWidth="1"/>
    <col min="10716" max="10716" width="50.1640625" style="810" customWidth="1"/>
    <col min="10717" max="10717" width="60.83203125" style="810" customWidth="1"/>
    <col min="10718" max="10718" width="50" style="810" customWidth="1"/>
    <col min="10719" max="10719" width="42.83203125" style="810" customWidth="1"/>
    <col min="10720" max="10720" width="42.1640625" style="810" customWidth="1"/>
    <col min="10721" max="10721" width="61" style="810" customWidth="1"/>
    <col min="10722" max="10722" width="50" style="810" customWidth="1"/>
    <col min="10723" max="10723" width="58.1640625" style="810" customWidth="1"/>
    <col min="10724" max="10724" width="52.83203125" style="810" customWidth="1"/>
    <col min="10725" max="10725" width="151" style="810" customWidth="1"/>
    <col min="10726" max="10726" width="12" style="810"/>
    <col min="10727" max="10727" width="22.5" style="810" customWidth="1"/>
    <col min="10728" max="10964" width="12" style="810"/>
    <col min="10965" max="10965" width="151" style="810" customWidth="1"/>
    <col min="10966" max="10966" width="60.83203125" style="810" customWidth="1"/>
    <col min="10967" max="10967" width="50.1640625" style="810" customWidth="1"/>
    <col min="10968" max="10968" width="41" style="810" customWidth="1"/>
    <col min="10969" max="10969" width="42.83203125" style="810" customWidth="1"/>
    <col min="10970" max="10970" width="43.1640625" style="810" customWidth="1"/>
    <col min="10971" max="10971" width="60.83203125" style="810" customWidth="1"/>
    <col min="10972" max="10972" width="50.1640625" style="810" customWidth="1"/>
    <col min="10973" max="10973" width="60.83203125" style="810" customWidth="1"/>
    <col min="10974" max="10974" width="50" style="810" customWidth="1"/>
    <col min="10975" max="10975" width="42.83203125" style="810" customWidth="1"/>
    <col min="10976" max="10976" width="42.1640625" style="810" customWidth="1"/>
    <col min="10977" max="10977" width="61" style="810" customWidth="1"/>
    <col min="10978" max="10978" width="50" style="810" customWidth="1"/>
    <col min="10979" max="10979" width="58.1640625" style="810" customWidth="1"/>
    <col min="10980" max="10980" width="52.83203125" style="810" customWidth="1"/>
    <col min="10981" max="10981" width="151" style="810" customWidth="1"/>
    <col min="10982" max="10982" width="12" style="810"/>
    <col min="10983" max="10983" width="22.5" style="810" customWidth="1"/>
    <col min="10984" max="11220" width="12" style="810"/>
    <col min="11221" max="11221" width="151" style="810" customWidth="1"/>
    <col min="11222" max="11222" width="60.83203125" style="810" customWidth="1"/>
    <col min="11223" max="11223" width="50.1640625" style="810" customWidth="1"/>
    <col min="11224" max="11224" width="41" style="810" customWidth="1"/>
    <col min="11225" max="11225" width="42.83203125" style="810" customWidth="1"/>
    <col min="11226" max="11226" width="43.1640625" style="810" customWidth="1"/>
    <col min="11227" max="11227" width="60.83203125" style="810" customWidth="1"/>
    <col min="11228" max="11228" width="50.1640625" style="810" customWidth="1"/>
    <col min="11229" max="11229" width="60.83203125" style="810" customWidth="1"/>
    <col min="11230" max="11230" width="50" style="810" customWidth="1"/>
    <col min="11231" max="11231" width="42.83203125" style="810" customWidth="1"/>
    <col min="11232" max="11232" width="42.1640625" style="810" customWidth="1"/>
    <col min="11233" max="11233" width="61" style="810" customWidth="1"/>
    <col min="11234" max="11234" width="50" style="810" customWidth="1"/>
    <col min="11235" max="11235" width="58.1640625" style="810" customWidth="1"/>
    <col min="11236" max="11236" width="52.83203125" style="810" customWidth="1"/>
    <col min="11237" max="11237" width="151" style="810" customWidth="1"/>
    <col min="11238" max="11238" width="12" style="810"/>
    <col min="11239" max="11239" width="22.5" style="810" customWidth="1"/>
    <col min="11240" max="11476" width="12" style="810"/>
    <col min="11477" max="11477" width="151" style="810" customWidth="1"/>
    <col min="11478" max="11478" width="60.83203125" style="810" customWidth="1"/>
    <col min="11479" max="11479" width="50.1640625" style="810" customWidth="1"/>
    <col min="11480" max="11480" width="41" style="810" customWidth="1"/>
    <col min="11481" max="11481" width="42.83203125" style="810" customWidth="1"/>
    <col min="11482" max="11482" width="43.1640625" style="810" customWidth="1"/>
    <col min="11483" max="11483" width="60.83203125" style="810" customWidth="1"/>
    <col min="11484" max="11484" width="50.1640625" style="810" customWidth="1"/>
    <col min="11485" max="11485" width="60.83203125" style="810" customWidth="1"/>
    <col min="11486" max="11486" width="50" style="810" customWidth="1"/>
    <col min="11487" max="11487" width="42.83203125" style="810" customWidth="1"/>
    <col min="11488" max="11488" width="42.1640625" style="810" customWidth="1"/>
    <col min="11489" max="11489" width="61" style="810" customWidth="1"/>
    <col min="11490" max="11490" width="50" style="810" customWidth="1"/>
    <col min="11491" max="11491" width="58.1640625" style="810" customWidth="1"/>
    <col min="11492" max="11492" width="52.83203125" style="810" customWidth="1"/>
    <col min="11493" max="11493" width="151" style="810" customWidth="1"/>
    <col min="11494" max="11494" width="12" style="810"/>
    <col min="11495" max="11495" width="22.5" style="810" customWidth="1"/>
    <col min="11496" max="11732" width="12" style="810"/>
    <col min="11733" max="11733" width="151" style="810" customWidth="1"/>
    <col min="11734" max="11734" width="60.83203125" style="810" customWidth="1"/>
    <col min="11735" max="11735" width="50.1640625" style="810" customWidth="1"/>
    <col min="11736" max="11736" width="41" style="810" customWidth="1"/>
    <col min="11737" max="11737" width="42.83203125" style="810" customWidth="1"/>
    <col min="11738" max="11738" width="43.1640625" style="810" customWidth="1"/>
    <col min="11739" max="11739" width="60.83203125" style="810" customWidth="1"/>
    <col min="11740" max="11740" width="50.1640625" style="810" customWidth="1"/>
    <col min="11741" max="11741" width="60.83203125" style="810" customWidth="1"/>
    <col min="11742" max="11742" width="50" style="810" customWidth="1"/>
    <col min="11743" max="11743" width="42.83203125" style="810" customWidth="1"/>
    <col min="11744" max="11744" width="42.1640625" style="810" customWidth="1"/>
    <col min="11745" max="11745" width="61" style="810" customWidth="1"/>
    <col min="11746" max="11746" width="50" style="810" customWidth="1"/>
    <col min="11747" max="11747" width="58.1640625" style="810" customWidth="1"/>
    <col min="11748" max="11748" width="52.83203125" style="810" customWidth="1"/>
    <col min="11749" max="11749" width="151" style="810" customWidth="1"/>
    <col min="11750" max="11750" width="12" style="810"/>
    <col min="11751" max="11751" width="22.5" style="810" customWidth="1"/>
    <col min="11752" max="11988" width="12" style="810"/>
    <col min="11989" max="11989" width="151" style="810" customWidth="1"/>
    <col min="11990" max="11990" width="60.83203125" style="810" customWidth="1"/>
    <col min="11991" max="11991" width="50.1640625" style="810" customWidth="1"/>
    <col min="11992" max="11992" width="41" style="810" customWidth="1"/>
    <col min="11993" max="11993" width="42.83203125" style="810" customWidth="1"/>
    <col min="11994" max="11994" width="43.1640625" style="810" customWidth="1"/>
    <col min="11995" max="11995" width="60.83203125" style="810" customWidth="1"/>
    <col min="11996" max="11996" width="50.1640625" style="810" customWidth="1"/>
    <col min="11997" max="11997" width="60.83203125" style="810" customWidth="1"/>
    <col min="11998" max="11998" width="50" style="810" customWidth="1"/>
    <col min="11999" max="11999" width="42.83203125" style="810" customWidth="1"/>
    <col min="12000" max="12000" width="42.1640625" style="810" customWidth="1"/>
    <col min="12001" max="12001" width="61" style="810" customWidth="1"/>
    <col min="12002" max="12002" width="50" style="810" customWidth="1"/>
    <col min="12003" max="12003" width="58.1640625" style="810" customWidth="1"/>
    <col min="12004" max="12004" width="52.83203125" style="810" customWidth="1"/>
    <col min="12005" max="12005" width="151" style="810" customWidth="1"/>
    <col min="12006" max="12006" width="12" style="810"/>
    <col min="12007" max="12007" width="22.5" style="810" customWidth="1"/>
    <col min="12008" max="12244" width="12" style="810"/>
    <col min="12245" max="12245" width="151" style="810" customWidth="1"/>
    <col min="12246" max="12246" width="60.83203125" style="810" customWidth="1"/>
    <col min="12247" max="12247" width="50.1640625" style="810" customWidth="1"/>
    <col min="12248" max="12248" width="41" style="810" customWidth="1"/>
    <col min="12249" max="12249" width="42.83203125" style="810" customWidth="1"/>
    <col min="12250" max="12250" width="43.1640625" style="810" customWidth="1"/>
    <col min="12251" max="12251" width="60.83203125" style="810" customWidth="1"/>
    <col min="12252" max="12252" width="50.1640625" style="810" customWidth="1"/>
    <col min="12253" max="12253" width="60.83203125" style="810" customWidth="1"/>
    <col min="12254" max="12254" width="50" style="810" customWidth="1"/>
    <col min="12255" max="12255" width="42.83203125" style="810" customWidth="1"/>
    <col min="12256" max="12256" width="42.1640625" style="810" customWidth="1"/>
    <col min="12257" max="12257" width="61" style="810" customWidth="1"/>
    <col min="12258" max="12258" width="50" style="810" customWidth="1"/>
    <col min="12259" max="12259" width="58.1640625" style="810" customWidth="1"/>
    <col min="12260" max="12260" width="52.83203125" style="810" customWidth="1"/>
    <col min="12261" max="12261" width="151" style="810" customWidth="1"/>
    <col min="12262" max="12262" width="12" style="810"/>
    <col min="12263" max="12263" width="22.5" style="810" customWidth="1"/>
    <col min="12264" max="12500" width="12" style="810"/>
    <col min="12501" max="12501" width="151" style="810" customWidth="1"/>
    <col min="12502" max="12502" width="60.83203125" style="810" customWidth="1"/>
    <col min="12503" max="12503" width="50.1640625" style="810" customWidth="1"/>
    <col min="12504" max="12504" width="41" style="810" customWidth="1"/>
    <col min="12505" max="12505" width="42.83203125" style="810" customWidth="1"/>
    <col min="12506" max="12506" width="43.1640625" style="810" customWidth="1"/>
    <col min="12507" max="12507" width="60.83203125" style="810" customWidth="1"/>
    <col min="12508" max="12508" width="50.1640625" style="810" customWidth="1"/>
    <col min="12509" max="12509" width="60.83203125" style="810" customWidth="1"/>
    <col min="12510" max="12510" width="50" style="810" customWidth="1"/>
    <col min="12511" max="12511" width="42.83203125" style="810" customWidth="1"/>
    <col min="12512" max="12512" width="42.1640625" style="810" customWidth="1"/>
    <col min="12513" max="12513" width="61" style="810" customWidth="1"/>
    <col min="12514" max="12514" width="50" style="810" customWidth="1"/>
    <col min="12515" max="12515" width="58.1640625" style="810" customWidth="1"/>
    <col min="12516" max="12516" width="52.83203125" style="810" customWidth="1"/>
    <col min="12517" max="12517" width="151" style="810" customWidth="1"/>
    <col min="12518" max="12518" width="12" style="810"/>
    <col min="12519" max="12519" width="22.5" style="810" customWidth="1"/>
    <col min="12520" max="12756" width="12" style="810"/>
    <col min="12757" max="12757" width="151" style="810" customWidth="1"/>
    <col min="12758" max="12758" width="60.83203125" style="810" customWidth="1"/>
    <col min="12759" max="12759" width="50.1640625" style="810" customWidth="1"/>
    <col min="12760" max="12760" width="41" style="810" customWidth="1"/>
    <col min="12761" max="12761" width="42.83203125" style="810" customWidth="1"/>
    <col min="12762" max="12762" width="43.1640625" style="810" customWidth="1"/>
    <col min="12763" max="12763" width="60.83203125" style="810" customWidth="1"/>
    <col min="12764" max="12764" width="50.1640625" style="810" customWidth="1"/>
    <col min="12765" max="12765" width="60.83203125" style="810" customWidth="1"/>
    <col min="12766" max="12766" width="50" style="810" customWidth="1"/>
    <col min="12767" max="12767" width="42.83203125" style="810" customWidth="1"/>
    <col min="12768" max="12768" width="42.1640625" style="810" customWidth="1"/>
    <col min="12769" max="12769" width="61" style="810" customWidth="1"/>
    <col min="12770" max="12770" width="50" style="810" customWidth="1"/>
    <col min="12771" max="12771" width="58.1640625" style="810" customWidth="1"/>
    <col min="12772" max="12772" width="52.83203125" style="810" customWidth="1"/>
    <col min="12773" max="12773" width="151" style="810" customWidth="1"/>
    <col min="12774" max="12774" width="12" style="810"/>
    <col min="12775" max="12775" width="22.5" style="810" customWidth="1"/>
    <col min="12776" max="13012" width="12" style="810"/>
    <col min="13013" max="13013" width="151" style="810" customWidth="1"/>
    <col min="13014" max="13014" width="60.83203125" style="810" customWidth="1"/>
    <col min="13015" max="13015" width="50.1640625" style="810" customWidth="1"/>
    <col min="13016" max="13016" width="41" style="810" customWidth="1"/>
    <col min="13017" max="13017" width="42.83203125" style="810" customWidth="1"/>
    <col min="13018" max="13018" width="43.1640625" style="810" customWidth="1"/>
    <col min="13019" max="13019" width="60.83203125" style="810" customWidth="1"/>
    <col min="13020" max="13020" width="50.1640625" style="810" customWidth="1"/>
    <col min="13021" max="13021" width="60.83203125" style="810" customWidth="1"/>
    <col min="13022" max="13022" width="50" style="810" customWidth="1"/>
    <col min="13023" max="13023" width="42.83203125" style="810" customWidth="1"/>
    <col min="13024" max="13024" width="42.1640625" style="810" customWidth="1"/>
    <col min="13025" max="13025" width="61" style="810" customWidth="1"/>
    <col min="13026" max="13026" width="50" style="810" customWidth="1"/>
    <col min="13027" max="13027" width="58.1640625" style="810" customWidth="1"/>
    <col min="13028" max="13028" width="52.83203125" style="810" customWidth="1"/>
    <col min="13029" max="13029" width="151" style="810" customWidth="1"/>
    <col min="13030" max="13030" width="12" style="810"/>
    <col min="13031" max="13031" width="22.5" style="810" customWidth="1"/>
    <col min="13032" max="13268" width="12" style="810"/>
    <col min="13269" max="13269" width="151" style="810" customWidth="1"/>
    <col min="13270" max="13270" width="60.83203125" style="810" customWidth="1"/>
    <col min="13271" max="13271" width="50.1640625" style="810" customWidth="1"/>
    <col min="13272" max="13272" width="41" style="810" customWidth="1"/>
    <col min="13273" max="13273" width="42.83203125" style="810" customWidth="1"/>
    <col min="13274" max="13274" width="43.1640625" style="810" customWidth="1"/>
    <col min="13275" max="13275" width="60.83203125" style="810" customWidth="1"/>
    <col min="13276" max="13276" width="50.1640625" style="810" customWidth="1"/>
    <col min="13277" max="13277" width="60.83203125" style="810" customWidth="1"/>
    <col min="13278" max="13278" width="50" style="810" customWidth="1"/>
    <col min="13279" max="13279" width="42.83203125" style="810" customWidth="1"/>
    <col min="13280" max="13280" width="42.1640625" style="810" customWidth="1"/>
    <col min="13281" max="13281" width="61" style="810" customWidth="1"/>
    <col min="13282" max="13282" width="50" style="810" customWidth="1"/>
    <col min="13283" max="13283" width="58.1640625" style="810" customWidth="1"/>
    <col min="13284" max="13284" width="52.83203125" style="810" customWidth="1"/>
    <col min="13285" max="13285" width="151" style="810" customWidth="1"/>
    <col min="13286" max="13286" width="12" style="810"/>
    <col min="13287" max="13287" width="22.5" style="810" customWidth="1"/>
    <col min="13288" max="13524" width="12" style="810"/>
    <col min="13525" max="13525" width="151" style="810" customWidth="1"/>
    <col min="13526" max="13526" width="60.83203125" style="810" customWidth="1"/>
    <col min="13527" max="13527" width="50.1640625" style="810" customWidth="1"/>
    <col min="13528" max="13528" width="41" style="810" customWidth="1"/>
    <col min="13529" max="13529" width="42.83203125" style="810" customWidth="1"/>
    <col min="13530" max="13530" width="43.1640625" style="810" customWidth="1"/>
    <col min="13531" max="13531" width="60.83203125" style="810" customWidth="1"/>
    <col min="13532" max="13532" width="50.1640625" style="810" customWidth="1"/>
    <col min="13533" max="13533" width="60.83203125" style="810" customWidth="1"/>
    <col min="13534" max="13534" width="50" style="810" customWidth="1"/>
    <col min="13535" max="13535" width="42.83203125" style="810" customWidth="1"/>
    <col min="13536" max="13536" width="42.1640625" style="810" customWidth="1"/>
    <col min="13537" max="13537" width="61" style="810" customWidth="1"/>
    <col min="13538" max="13538" width="50" style="810" customWidth="1"/>
    <col min="13539" max="13539" width="58.1640625" style="810" customWidth="1"/>
    <col min="13540" max="13540" width="52.83203125" style="810" customWidth="1"/>
    <col min="13541" max="13541" width="151" style="810" customWidth="1"/>
    <col min="13542" max="13542" width="12" style="810"/>
    <col min="13543" max="13543" width="22.5" style="810" customWidth="1"/>
    <col min="13544" max="13780" width="12" style="810"/>
    <col min="13781" max="13781" width="151" style="810" customWidth="1"/>
    <col min="13782" max="13782" width="60.83203125" style="810" customWidth="1"/>
    <col min="13783" max="13783" width="50.1640625" style="810" customWidth="1"/>
    <col min="13784" max="13784" width="41" style="810" customWidth="1"/>
    <col min="13785" max="13785" width="42.83203125" style="810" customWidth="1"/>
    <col min="13786" max="13786" width="43.1640625" style="810" customWidth="1"/>
    <col min="13787" max="13787" width="60.83203125" style="810" customWidth="1"/>
    <col min="13788" max="13788" width="50.1640625" style="810" customWidth="1"/>
    <col min="13789" max="13789" width="60.83203125" style="810" customWidth="1"/>
    <col min="13790" max="13790" width="50" style="810" customWidth="1"/>
    <col min="13791" max="13791" width="42.83203125" style="810" customWidth="1"/>
    <col min="13792" max="13792" width="42.1640625" style="810" customWidth="1"/>
    <col min="13793" max="13793" width="61" style="810" customWidth="1"/>
    <col min="13794" max="13794" width="50" style="810" customWidth="1"/>
    <col min="13795" max="13795" width="58.1640625" style="810" customWidth="1"/>
    <col min="13796" max="13796" width="52.83203125" style="810" customWidth="1"/>
    <col min="13797" max="13797" width="151" style="810" customWidth="1"/>
    <col min="13798" max="13798" width="12" style="810"/>
    <col min="13799" max="13799" width="22.5" style="810" customWidth="1"/>
    <col min="13800" max="14036" width="12" style="810"/>
    <col min="14037" max="14037" width="151" style="810" customWidth="1"/>
    <col min="14038" max="14038" width="60.83203125" style="810" customWidth="1"/>
    <col min="14039" max="14039" width="50.1640625" style="810" customWidth="1"/>
    <col min="14040" max="14040" width="41" style="810" customWidth="1"/>
    <col min="14041" max="14041" width="42.83203125" style="810" customWidth="1"/>
    <col min="14042" max="14042" width="43.1640625" style="810" customWidth="1"/>
    <col min="14043" max="14043" width="60.83203125" style="810" customWidth="1"/>
    <col min="14044" max="14044" width="50.1640625" style="810" customWidth="1"/>
    <col min="14045" max="14045" width="60.83203125" style="810" customWidth="1"/>
    <col min="14046" max="14046" width="50" style="810" customWidth="1"/>
    <col min="14047" max="14047" width="42.83203125" style="810" customWidth="1"/>
    <col min="14048" max="14048" width="42.1640625" style="810" customWidth="1"/>
    <col min="14049" max="14049" width="61" style="810" customWidth="1"/>
    <col min="14050" max="14050" width="50" style="810" customWidth="1"/>
    <col min="14051" max="14051" width="58.1640625" style="810" customWidth="1"/>
    <col min="14052" max="14052" width="52.83203125" style="810" customWidth="1"/>
    <col min="14053" max="14053" width="151" style="810" customWidth="1"/>
    <col min="14054" max="14054" width="12" style="810"/>
    <col min="14055" max="14055" width="22.5" style="810" customWidth="1"/>
    <col min="14056" max="14292" width="12" style="810"/>
    <col min="14293" max="14293" width="151" style="810" customWidth="1"/>
    <col min="14294" max="14294" width="60.83203125" style="810" customWidth="1"/>
    <col min="14295" max="14295" width="50.1640625" style="810" customWidth="1"/>
    <col min="14296" max="14296" width="41" style="810" customWidth="1"/>
    <col min="14297" max="14297" width="42.83203125" style="810" customWidth="1"/>
    <col min="14298" max="14298" width="43.1640625" style="810" customWidth="1"/>
    <col min="14299" max="14299" width="60.83203125" style="810" customWidth="1"/>
    <col min="14300" max="14300" width="50.1640625" style="810" customWidth="1"/>
    <col min="14301" max="14301" width="60.83203125" style="810" customWidth="1"/>
    <col min="14302" max="14302" width="50" style="810" customWidth="1"/>
    <col min="14303" max="14303" width="42.83203125" style="810" customWidth="1"/>
    <col min="14304" max="14304" width="42.1640625" style="810" customWidth="1"/>
    <col min="14305" max="14305" width="61" style="810" customWidth="1"/>
    <col min="14306" max="14306" width="50" style="810" customWidth="1"/>
    <col min="14307" max="14307" width="58.1640625" style="810" customWidth="1"/>
    <col min="14308" max="14308" width="52.83203125" style="810" customWidth="1"/>
    <col min="14309" max="14309" width="151" style="810" customWidth="1"/>
    <col min="14310" max="14310" width="12" style="810"/>
    <col min="14311" max="14311" width="22.5" style="810" customWidth="1"/>
    <col min="14312" max="14548" width="12" style="810"/>
    <col min="14549" max="14549" width="151" style="810" customWidth="1"/>
    <col min="14550" max="14550" width="60.83203125" style="810" customWidth="1"/>
    <col min="14551" max="14551" width="50.1640625" style="810" customWidth="1"/>
    <col min="14552" max="14552" width="41" style="810" customWidth="1"/>
    <col min="14553" max="14553" width="42.83203125" style="810" customWidth="1"/>
    <col min="14554" max="14554" width="43.1640625" style="810" customWidth="1"/>
    <col min="14555" max="14555" width="60.83203125" style="810" customWidth="1"/>
    <col min="14556" max="14556" width="50.1640625" style="810" customWidth="1"/>
    <col min="14557" max="14557" width="60.83203125" style="810" customWidth="1"/>
    <col min="14558" max="14558" width="50" style="810" customWidth="1"/>
    <col min="14559" max="14559" width="42.83203125" style="810" customWidth="1"/>
    <col min="14560" max="14560" width="42.1640625" style="810" customWidth="1"/>
    <col min="14561" max="14561" width="61" style="810" customWidth="1"/>
    <col min="14562" max="14562" width="50" style="810" customWidth="1"/>
    <col min="14563" max="14563" width="58.1640625" style="810" customWidth="1"/>
    <col min="14564" max="14564" width="52.83203125" style="810" customWidth="1"/>
    <col min="14565" max="14565" width="151" style="810" customWidth="1"/>
    <col min="14566" max="14566" width="12" style="810"/>
    <col min="14567" max="14567" width="22.5" style="810" customWidth="1"/>
    <col min="14568" max="14804" width="12" style="810"/>
    <col min="14805" max="14805" width="151" style="810" customWidth="1"/>
    <col min="14806" max="14806" width="60.83203125" style="810" customWidth="1"/>
    <col min="14807" max="14807" width="50.1640625" style="810" customWidth="1"/>
    <col min="14808" max="14808" width="41" style="810" customWidth="1"/>
    <col min="14809" max="14809" width="42.83203125" style="810" customWidth="1"/>
    <col min="14810" max="14810" width="43.1640625" style="810" customWidth="1"/>
    <col min="14811" max="14811" width="60.83203125" style="810" customWidth="1"/>
    <col min="14812" max="14812" width="50.1640625" style="810" customWidth="1"/>
    <col min="14813" max="14813" width="60.83203125" style="810" customWidth="1"/>
    <col min="14814" max="14814" width="50" style="810" customWidth="1"/>
    <col min="14815" max="14815" width="42.83203125" style="810" customWidth="1"/>
    <col min="14816" max="14816" width="42.1640625" style="810" customWidth="1"/>
    <col min="14817" max="14817" width="61" style="810" customWidth="1"/>
    <col min="14818" max="14818" width="50" style="810" customWidth="1"/>
    <col min="14819" max="14819" width="58.1640625" style="810" customWidth="1"/>
    <col min="14820" max="14820" width="52.83203125" style="810" customWidth="1"/>
    <col min="14821" max="14821" width="151" style="810" customWidth="1"/>
    <col min="14822" max="14822" width="12" style="810"/>
    <col min="14823" max="14823" width="22.5" style="810" customWidth="1"/>
    <col min="14824" max="15060" width="12" style="810"/>
    <col min="15061" max="15061" width="151" style="810" customWidth="1"/>
    <col min="15062" max="15062" width="60.83203125" style="810" customWidth="1"/>
    <col min="15063" max="15063" width="50.1640625" style="810" customWidth="1"/>
    <col min="15064" max="15064" width="41" style="810" customWidth="1"/>
    <col min="15065" max="15065" width="42.83203125" style="810" customWidth="1"/>
    <col min="15066" max="15066" width="43.1640625" style="810" customWidth="1"/>
    <col min="15067" max="15067" width="60.83203125" style="810" customWidth="1"/>
    <col min="15068" max="15068" width="50.1640625" style="810" customWidth="1"/>
    <col min="15069" max="15069" width="60.83203125" style="810" customWidth="1"/>
    <col min="15070" max="15070" width="50" style="810" customWidth="1"/>
    <col min="15071" max="15071" width="42.83203125" style="810" customWidth="1"/>
    <col min="15072" max="15072" width="42.1640625" style="810" customWidth="1"/>
    <col min="15073" max="15073" width="61" style="810" customWidth="1"/>
    <col min="15074" max="15074" width="50" style="810" customWidth="1"/>
    <col min="15075" max="15075" width="58.1640625" style="810" customWidth="1"/>
    <col min="15076" max="15076" width="52.83203125" style="810" customWidth="1"/>
    <col min="15077" max="15077" width="151" style="810" customWidth="1"/>
    <col min="15078" max="15078" width="12" style="810"/>
    <col min="15079" max="15079" width="22.5" style="810" customWidth="1"/>
    <col min="15080" max="15316" width="12" style="810"/>
    <col min="15317" max="15317" width="151" style="810" customWidth="1"/>
    <col min="15318" max="15318" width="60.83203125" style="810" customWidth="1"/>
    <col min="15319" max="15319" width="50.1640625" style="810" customWidth="1"/>
    <col min="15320" max="15320" width="41" style="810" customWidth="1"/>
    <col min="15321" max="15321" width="42.83203125" style="810" customWidth="1"/>
    <col min="15322" max="15322" width="43.1640625" style="810" customWidth="1"/>
    <col min="15323" max="15323" width="60.83203125" style="810" customWidth="1"/>
    <col min="15324" max="15324" width="50.1640625" style="810" customWidth="1"/>
    <col min="15325" max="15325" width="60.83203125" style="810" customWidth="1"/>
    <col min="15326" max="15326" width="50" style="810" customWidth="1"/>
    <col min="15327" max="15327" width="42.83203125" style="810" customWidth="1"/>
    <col min="15328" max="15328" width="42.1640625" style="810" customWidth="1"/>
    <col min="15329" max="15329" width="61" style="810" customWidth="1"/>
    <col min="15330" max="15330" width="50" style="810" customWidth="1"/>
    <col min="15331" max="15331" width="58.1640625" style="810" customWidth="1"/>
    <col min="15332" max="15332" width="52.83203125" style="810" customWidth="1"/>
    <col min="15333" max="15333" width="151" style="810" customWidth="1"/>
    <col min="15334" max="15334" width="12" style="810"/>
    <col min="15335" max="15335" width="22.5" style="810" customWidth="1"/>
    <col min="15336" max="15572" width="12" style="810"/>
    <col min="15573" max="15573" width="151" style="810" customWidth="1"/>
    <col min="15574" max="15574" width="60.83203125" style="810" customWidth="1"/>
    <col min="15575" max="15575" width="50.1640625" style="810" customWidth="1"/>
    <col min="15576" max="15576" width="41" style="810" customWidth="1"/>
    <col min="15577" max="15577" width="42.83203125" style="810" customWidth="1"/>
    <col min="15578" max="15578" width="43.1640625" style="810" customWidth="1"/>
    <col min="15579" max="15579" width="60.83203125" style="810" customWidth="1"/>
    <col min="15580" max="15580" width="50.1640625" style="810" customWidth="1"/>
    <col min="15581" max="15581" width="60.83203125" style="810" customWidth="1"/>
    <col min="15582" max="15582" width="50" style="810" customWidth="1"/>
    <col min="15583" max="15583" width="42.83203125" style="810" customWidth="1"/>
    <col min="15584" max="15584" width="42.1640625" style="810" customWidth="1"/>
    <col min="15585" max="15585" width="61" style="810" customWidth="1"/>
    <col min="15586" max="15586" width="50" style="810" customWidth="1"/>
    <col min="15587" max="15587" width="58.1640625" style="810" customWidth="1"/>
    <col min="15588" max="15588" width="52.83203125" style="810" customWidth="1"/>
    <col min="15589" max="15589" width="151" style="810" customWidth="1"/>
    <col min="15590" max="15590" width="12" style="810"/>
    <col min="15591" max="15591" width="22.5" style="810" customWidth="1"/>
    <col min="15592" max="15828" width="12" style="810"/>
    <col min="15829" max="15829" width="151" style="810" customWidth="1"/>
    <col min="15830" max="15830" width="60.83203125" style="810" customWidth="1"/>
    <col min="15831" max="15831" width="50.1640625" style="810" customWidth="1"/>
    <col min="15832" max="15832" width="41" style="810" customWidth="1"/>
    <col min="15833" max="15833" width="42.83203125" style="810" customWidth="1"/>
    <col min="15834" max="15834" width="43.1640625" style="810" customWidth="1"/>
    <col min="15835" max="15835" width="60.83203125" style="810" customWidth="1"/>
    <col min="15836" max="15836" width="50.1640625" style="810" customWidth="1"/>
    <col min="15837" max="15837" width="60.83203125" style="810" customWidth="1"/>
    <col min="15838" max="15838" width="50" style="810" customWidth="1"/>
    <col min="15839" max="15839" width="42.83203125" style="810" customWidth="1"/>
    <col min="15840" max="15840" width="42.1640625" style="810" customWidth="1"/>
    <col min="15841" max="15841" width="61" style="810" customWidth="1"/>
    <col min="15842" max="15842" width="50" style="810" customWidth="1"/>
    <col min="15843" max="15843" width="58.1640625" style="810" customWidth="1"/>
    <col min="15844" max="15844" width="52.83203125" style="810" customWidth="1"/>
    <col min="15845" max="15845" width="151" style="810" customWidth="1"/>
    <col min="15846" max="15846" width="12" style="810"/>
    <col min="15847" max="15847" width="22.5" style="810" customWidth="1"/>
    <col min="15848" max="16084" width="12" style="810"/>
    <col min="16085" max="16085" width="151" style="810" customWidth="1"/>
    <col min="16086" max="16086" width="60.83203125" style="810" customWidth="1"/>
    <col min="16087" max="16087" width="50.1640625" style="810" customWidth="1"/>
    <col min="16088" max="16088" width="41" style="810" customWidth="1"/>
    <col min="16089" max="16089" width="42.83203125" style="810" customWidth="1"/>
    <col min="16090" max="16090" width="43.1640625" style="810" customWidth="1"/>
    <col min="16091" max="16091" width="60.83203125" style="810" customWidth="1"/>
    <col min="16092" max="16092" width="50.1640625" style="810" customWidth="1"/>
    <col min="16093" max="16093" width="60.83203125" style="810" customWidth="1"/>
    <col min="16094" max="16094" width="50" style="810" customWidth="1"/>
    <col min="16095" max="16095" width="42.83203125" style="810" customWidth="1"/>
    <col min="16096" max="16096" width="42.1640625" style="810" customWidth="1"/>
    <col min="16097" max="16097" width="61" style="810" customWidth="1"/>
    <col min="16098" max="16098" width="50" style="810" customWidth="1"/>
    <col min="16099" max="16099" width="58.1640625" style="810" customWidth="1"/>
    <col min="16100" max="16100" width="52.83203125" style="810" customWidth="1"/>
    <col min="16101" max="16101" width="151" style="810" customWidth="1"/>
    <col min="16102" max="16102" width="12" style="810"/>
    <col min="16103" max="16103" width="22.5" style="810" customWidth="1"/>
    <col min="16104" max="16384" width="12" style="810"/>
  </cols>
  <sheetData>
    <row r="1" spans="1:16" s="806" customFormat="1" ht="45" customHeight="1" x14ac:dyDescent="0.6">
      <c r="A1" s="938" t="s">
        <v>732</v>
      </c>
      <c r="B1" s="938"/>
      <c r="C1" s="938"/>
      <c r="D1" s="938"/>
      <c r="E1" s="938"/>
      <c r="F1" s="938"/>
      <c r="G1" s="938"/>
      <c r="H1" s="938"/>
      <c r="I1" s="938"/>
      <c r="J1" s="938"/>
      <c r="K1" s="938"/>
      <c r="L1" s="938"/>
      <c r="M1" s="938"/>
      <c r="N1" s="938"/>
      <c r="O1" s="938"/>
      <c r="P1" s="938"/>
    </row>
    <row r="2" spans="1:16" s="806" customFormat="1" ht="44.25" customHeight="1" x14ac:dyDescent="0.6">
      <c r="A2" s="938" t="s">
        <v>733</v>
      </c>
      <c r="B2" s="938"/>
      <c r="C2" s="938"/>
      <c r="D2" s="938"/>
      <c r="E2" s="938"/>
      <c r="F2" s="938"/>
      <c r="G2" s="938"/>
      <c r="H2" s="938"/>
      <c r="I2" s="938"/>
      <c r="J2" s="938"/>
      <c r="K2" s="938"/>
      <c r="L2" s="938"/>
      <c r="M2" s="938"/>
      <c r="N2" s="938"/>
      <c r="O2" s="938"/>
      <c r="P2" s="938"/>
    </row>
    <row r="3" spans="1:16" ht="44.25" customHeight="1" thickBot="1" x14ac:dyDescent="0.55000000000000004">
      <c r="A3" s="807"/>
      <c r="B3" s="939"/>
      <c r="C3" s="939"/>
      <c r="D3" s="939"/>
      <c r="E3" s="939"/>
      <c r="F3" s="939"/>
      <c r="G3" s="939"/>
      <c r="H3" s="939"/>
      <c r="I3" s="939"/>
      <c r="J3" s="939"/>
      <c r="K3" s="808"/>
      <c r="L3" s="808"/>
      <c r="M3" s="808"/>
      <c r="N3" s="808"/>
      <c r="O3" s="808"/>
      <c r="P3" s="809" t="s">
        <v>734</v>
      </c>
    </row>
    <row r="4" spans="1:16" s="806" customFormat="1" ht="108.75" customHeight="1" thickBot="1" x14ac:dyDescent="0.55000000000000004">
      <c r="A4" s="811"/>
      <c r="B4" s="940" t="s">
        <v>735</v>
      </c>
      <c r="C4" s="941"/>
      <c r="D4" s="941"/>
      <c r="E4" s="941"/>
      <c r="F4" s="941"/>
      <c r="G4" s="941"/>
      <c r="H4" s="941"/>
      <c r="I4" s="941"/>
      <c r="J4" s="941"/>
      <c r="K4" s="941"/>
      <c r="L4" s="941"/>
      <c r="M4" s="941"/>
      <c r="N4" s="942"/>
      <c r="O4" s="943" t="s">
        <v>736</v>
      </c>
      <c r="P4" s="944"/>
    </row>
    <row r="5" spans="1:16" s="806" customFormat="1" ht="45.75" customHeight="1" thickBot="1" x14ac:dyDescent="0.55000000000000004">
      <c r="A5" s="812" t="s">
        <v>737</v>
      </c>
      <c r="B5" s="947" t="s">
        <v>738</v>
      </c>
      <c r="C5" s="948"/>
      <c r="D5" s="948"/>
      <c r="E5" s="948"/>
      <c r="F5" s="948"/>
      <c r="G5" s="948"/>
      <c r="H5" s="949"/>
      <c r="I5" s="947" t="s">
        <v>739</v>
      </c>
      <c r="J5" s="948"/>
      <c r="K5" s="948"/>
      <c r="L5" s="948"/>
      <c r="M5" s="948"/>
      <c r="N5" s="949"/>
      <c r="O5" s="945"/>
      <c r="P5" s="946"/>
    </row>
    <row r="6" spans="1:16" s="806" customFormat="1" ht="83.25" customHeight="1" thickBot="1" x14ac:dyDescent="0.55000000000000004">
      <c r="A6" s="812"/>
      <c r="B6" s="947" t="s">
        <v>603</v>
      </c>
      <c r="C6" s="949"/>
      <c r="D6" s="947" t="s">
        <v>604</v>
      </c>
      <c r="E6" s="948"/>
      <c r="F6" s="949"/>
      <c r="G6" s="936" t="s">
        <v>605</v>
      </c>
      <c r="H6" s="937"/>
      <c r="I6" s="936" t="s">
        <v>603</v>
      </c>
      <c r="J6" s="937"/>
      <c r="K6" s="947" t="s">
        <v>604</v>
      </c>
      <c r="L6" s="948"/>
      <c r="M6" s="936" t="s">
        <v>605</v>
      </c>
      <c r="N6" s="937"/>
      <c r="O6" s="813"/>
      <c r="P6" s="813"/>
    </row>
    <row r="7" spans="1:16" s="806" customFormat="1" ht="44.25" customHeight="1" thickBot="1" x14ac:dyDescent="0.55000000000000004">
      <c r="A7" s="814"/>
      <c r="B7" s="815" t="s">
        <v>740</v>
      </c>
      <c r="C7" s="816" t="s">
        <v>741</v>
      </c>
      <c r="D7" s="950" t="s">
        <v>740</v>
      </c>
      <c r="E7" s="951"/>
      <c r="F7" s="952"/>
      <c r="G7" s="817" t="s">
        <v>740</v>
      </c>
      <c r="H7" s="818" t="s">
        <v>741</v>
      </c>
      <c r="I7" s="815" t="s">
        <v>740</v>
      </c>
      <c r="J7" s="816" t="s">
        <v>741</v>
      </c>
      <c r="K7" s="953" t="s">
        <v>740</v>
      </c>
      <c r="L7" s="954"/>
      <c r="M7" s="817" t="s">
        <v>740</v>
      </c>
      <c r="N7" s="818" t="s">
        <v>741</v>
      </c>
      <c r="O7" s="813" t="s">
        <v>740</v>
      </c>
      <c r="P7" s="813" t="s">
        <v>742</v>
      </c>
    </row>
    <row r="8" spans="1:16" s="825" customFormat="1" ht="145.5" customHeight="1" x14ac:dyDescent="0.5">
      <c r="A8" s="819" t="s">
        <v>743</v>
      </c>
      <c r="B8" s="820"/>
      <c r="C8" s="821"/>
      <c r="D8" s="822" t="s">
        <v>744</v>
      </c>
      <c r="E8" s="823"/>
      <c r="F8" s="824"/>
      <c r="G8" s="821"/>
      <c r="H8" s="821"/>
      <c r="I8" s="821"/>
      <c r="J8" s="821"/>
      <c r="K8" s="823"/>
      <c r="L8" s="824"/>
      <c r="M8" s="821"/>
      <c r="N8" s="821"/>
      <c r="O8" s="821"/>
      <c r="P8" s="821"/>
    </row>
    <row r="9" spans="1:16" s="833" customFormat="1" ht="45.75" customHeight="1" x14ac:dyDescent="0.55000000000000004">
      <c r="A9" s="826" t="s">
        <v>607</v>
      </c>
      <c r="B9" s="827">
        <f>'[4]létszám ei mód RM I.'!F9</f>
        <v>33</v>
      </c>
      <c r="C9" s="828">
        <f>'[4]létszám ei mód RM I.'!G9</f>
        <v>33</v>
      </c>
      <c r="D9" s="829"/>
      <c r="E9" s="827"/>
      <c r="F9" s="830"/>
      <c r="G9" s="830">
        <f>B9+D9+E9+F9</f>
        <v>33</v>
      </c>
      <c r="H9" s="828">
        <v>33</v>
      </c>
      <c r="I9" s="830">
        <f>'[4]létszám ei mód RM I.'!L9</f>
        <v>1</v>
      </c>
      <c r="J9" s="828">
        <f>'[4]létszám ei mód RM I.'!M9</f>
        <v>1</v>
      </c>
      <c r="K9" s="827"/>
      <c r="L9" s="828"/>
      <c r="M9" s="830">
        <f>I9+K9+L9</f>
        <v>1</v>
      </c>
      <c r="N9" s="828">
        <v>1</v>
      </c>
      <c r="O9" s="831">
        <f t="shared" ref="O9:P26" si="0">G9+M9</f>
        <v>34</v>
      </c>
      <c r="P9" s="832">
        <f t="shared" si="0"/>
        <v>34</v>
      </c>
    </row>
    <row r="10" spans="1:16" s="833" customFormat="1" ht="45.75" customHeight="1" x14ac:dyDescent="0.55000000000000004">
      <c r="A10" s="834" t="s">
        <v>608</v>
      </c>
      <c r="B10" s="835">
        <f>'[4]létszám ei mód RM I.'!F10</f>
        <v>23</v>
      </c>
      <c r="C10" s="836">
        <f>'[4]létszám ei mód RM I.'!G10</f>
        <v>23</v>
      </c>
      <c r="D10" s="837"/>
      <c r="E10" s="838"/>
      <c r="F10" s="839"/>
      <c r="G10" s="839">
        <f t="shared" ref="G10:G26" si="1">B10+D10+E10+F10</f>
        <v>23</v>
      </c>
      <c r="H10" s="836">
        <v>23</v>
      </c>
      <c r="I10" s="835">
        <f>'[4]létszám ei mód RM I.'!L10</f>
        <v>1</v>
      </c>
      <c r="J10" s="840">
        <f>'[4]létszám ei mód RM I.'!M10</f>
        <v>1</v>
      </c>
      <c r="K10" s="835"/>
      <c r="L10" s="836"/>
      <c r="M10" s="839">
        <f t="shared" ref="M10:M25" si="2">I10+K10+L10</f>
        <v>1</v>
      </c>
      <c r="N10" s="836">
        <v>1</v>
      </c>
      <c r="O10" s="841">
        <f t="shared" si="0"/>
        <v>24</v>
      </c>
      <c r="P10" s="842">
        <f t="shared" si="0"/>
        <v>24</v>
      </c>
    </row>
    <row r="11" spans="1:16" s="833" customFormat="1" ht="45.75" customHeight="1" x14ac:dyDescent="0.55000000000000004">
      <c r="A11" s="834" t="s">
        <v>609</v>
      </c>
      <c r="B11" s="827">
        <f>'[4]létszám ei mód RM I.'!F11</f>
        <v>23</v>
      </c>
      <c r="C11" s="836">
        <f>'[4]létszám ei mód RM I.'!G11</f>
        <v>23</v>
      </c>
      <c r="D11" s="843"/>
      <c r="E11" s="844"/>
      <c r="F11" s="845"/>
      <c r="G11" s="846">
        <f t="shared" si="1"/>
        <v>23</v>
      </c>
      <c r="H11" s="840">
        <v>23</v>
      </c>
      <c r="I11" s="830">
        <f>'[4]létszám ei mód RM I.'!L11</f>
        <v>1</v>
      </c>
      <c r="J11" s="828">
        <f>'[4]létszám ei mód RM I.'!M11</f>
        <v>1</v>
      </c>
      <c r="K11" s="827"/>
      <c r="L11" s="840"/>
      <c r="M11" s="846">
        <f t="shared" si="2"/>
        <v>1</v>
      </c>
      <c r="N11" s="840">
        <v>1</v>
      </c>
      <c r="O11" s="847">
        <f t="shared" si="0"/>
        <v>24</v>
      </c>
      <c r="P11" s="848">
        <f t="shared" si="0"/>
        <v>24</v>
      </c>
    </row>
    <row r="12" spans="1:16" s="833" customFormat="1" ht="45.75" customHeight="1" x14ac:dyDescent="0.55000000000000004">
      <c r="A12" s="834" t="s">
        <v>610</v>
      </c>
      <c r="B12" s="835">
        <f>'[4]létszám ei mód RM I.'!F12</f>
        <v>28</v>
      </c>
      <c r="C12" s="836">
        <f>'[4]létszám ei mód RM I.'!G12</f>
        <v>28</v>
      </c>
      <c r="D12" s="829"/>
      <c r="E12" s="827"/>
      <c r="F12" s="830"/>
      <c r="G12" s="830">
        <f t="shared" si="1"/>
        <v>28</v>
      </c>
      <c r="H12" s="828">
        <v>28</v>
      </c>
      <c r="I12" s="835">
        <f>'[4]létszám ei mód RM I.'!L12</f>
        <v>1</v>
      </c>
      <c r="J12" s="840">
        <f>'[4]létszám ei mód RM I.'!M12</f>
        <v>1</v>
      </c>
      <c r="K12" s="835"/>
      <c r="L12" s="828"/>
      <c r="M12" s="830">
        <f t="shared" si="2"/>
        <v>1</v>
      </c>
      <c r="N12" s="828">
        <v>1</v>
      </c>
      <c r="O12" s="831">
        <f t="shared" si="0"/>
        <v>29</v>
      </c>
      <c r="P12" s="832">
        <f t="shared" si="0"/>
        <v>29</v>
      </c>
    </row>
    <row r="13" spans="1:16" s="833" customFormat="1" ht="45.75" customHeight="1" x14ac:dyDescent="0.55000000000000004">
      <c r="A13" s="834" t="s">
        <v>611</v>
      </c>
      <c r="B13" s="835">
        <f>'[4]létszám ei mód RM I.'!F13</f>
        <v>26</v>
      </c>
      <c r="C13" s="836">
        <f>'[4]létszám ei mód RM I.'!G13</f>
        <v>26</v>
      </c>
      <c r="D13" s="837">
        <v>1</v>
      </c>
      <c r="E13" s="838"/>
      <c r="F13" s="839"/>
      <c r="G13" s="839">
        <f t="shared" si="1"/>
        <v>27</v>
      </c>
      <c r="H13" s="836">
        <v>27</v>
      </c>
      <c r="I13" s="835">
        <f>'[4]létszám ei mód RM I.'!L13</f>
        <v>1</v>
      </c>
      <c r="J13" s="828">
        <f>'[4]létszám ei mód RM I.'!M13</f>
        <v>1</v>
      </c>
      <c r="K13" s="835"/>
      <c r="L13" s="836"/>
      <c r="M13" s="839">
        <f t="shared" si="2"/>
        <v>1</v>
      </c>
      <c r="N13" s="836">
        <v>1</v>
      </c>
      <c r="O13" s="841">
        <f t="shared" si="0"/>
        <v>28</v>
      </c>
      <c r="P13" s="842">
        <f t="shared" si="0"/>
        <v>28</v>
      </c>
    </row>
    <row r="14" spans="1:16" s="833" customFormat="1" ht="45.75" customHeight="1" x14ac:dyDescent="0.55000000000000004">
      <c r="A14" s="834" t="s">
        <v>612</v>
      </c>
      <c r="B14" s="835">
        <f>'[4]létszám ei mód RM I.'!F14</f>
        <v>23</v>
      </c>
      <c r="C14" s="836">
        <f>'[4]létszám ei mód RM I.'!G14</f>
        <v>23</v>
      </c>
      <c r="D14" s="843"/>
      <c r="E14" s="835"/>
      <c r="F14" s="846"/>
      <c r="G14" s="846">
        <f t="shared" si="1"/>
        <v>23</v>
      </c>
      <c r="H14" s="840">
        <v>23</v>
      </c>
      <c r="I14" s="835">
        <f>'[4]létszám ei mód RM I.'!L14</f>
        <v>1</v>
      </c>
      <c r="J14" s="840">
        <f>'[4]létszám ei mód RM I.'!M14</f>
        <v>1</v>
      </c>
      <c r="K14" s="835"/>
      <c r="L14" s="840"/>
      <c r="M14" s="846">
        <f t="shared" si="2"/>
        <v>1</v>
      </c>
      <c r="N14" s="840">
        <v>1</v>
      </c>
      <c r="O14" s="847">
        <f t="shared" si="0"/>
        <v>24</v>
      </c>
      <c r="P14" s="848">
        <f t="shared" si="0"/>
        <v>24</v>
      </c>
    </row>
    <row r="15" spans="1:16" s="833" customFormat="1" ht="45.75" customHeight="1" x14ac:dyDescent="0.55000000000000004">
      <c r="A15" s="834" t="s">
        <v>613</v>
      </c>
      <c r="B15" s="835">
        <f>'[4]létszám ei mód RM I.'!F15</f>
        <v>18</v>
      </c>
      <c r="C15" s="836">
        <f>'[4]létszám ei mód RM I.'!G15</f>
        <v>18</v>
      </c>
      <c r="D15" s="837"/>
      <c r="E15" s="838"/>
      <c r="F15" s="839"/>
      <c r="G15" s="839">
        <f t="shared" si="1"/>
        <v>18</v>
      </c>
      <c r="H15" s="836">
        <v>18</v>
      </c>
      <c r="I15" s="835">
        <f>'[4]létszám ei mód RM I.'!L15</f>
        <v>1</v>
      </c>
      <c r="J15" s="828">
        <f>'[4]létszám ei mód RM I.'!M15</f>
        <v>1</v>
      </c>
      <c r="K15" s="835"/>
      <c r="L15" s="836"/>
      <c r="M15" s="839">
        <f t="shared" si="2"/>
        <v>1</v>
      </c>
      <c r="N15" s="836">
        <v>1</v>
      </c>
      <c r="O15" s="841">
        <f t="shared" si="0"/>
        <v>19</v>
      </c>
      <c r="P15" s="842">
        <f t="shared" si="0"/>
        <v>19</v>
      </c>
    </row>
    <row r="16" spans="1:16" s="833" customFormat="1" ht="45.75" customHeight="1" x14ac:dyDescent="0.55000000000000004">
      <c r="A16" s="834" t="s">
        <v>615</v>
      </c>
      <c r="B16" s="835">
        <f>'[4]létszám ei mód RM I.'!F16</f>
        <v>18</v>
      </c>
      <c r="C16" s="836">
        <f>'[4]létszám ei mód RM I.'!G16</f>
        <v>18</v>
      </c>
      <c r="D16" s="843"/>
      <c r="E16" s="835"/>
      <c r="F16" s="846"/>
      <c r="G16" s="846">
        <f t="shared" si="1"/>
        <v>18</v>
      </c>
      <c r="H16" s="840">
        <v>18</v>
      </c>
      <c r="I16" s="835">
        <f>'[4]létszám ei mód RM I.'!L16</f>
        <v>1</v>
      </c>
      <c r="J16" s="840">
        <f>'[4]létszám ei mód RM I.'!M16</f>
        <v>1</v>
      </c>
      <c r="K16" s="835"/>
      <c r="L16" s="840"/>
      <c r="M16" s="846">
        <f t="shared" si="2"/>
        <v>1</v>
      </c>
      <c r="N16" s="840">
        <v>1</v>
      </c>
      <c r="O16" s="847">
        <f t="shared" si="0"/>
        <v>19</v>
      </c>
      <c r="P16" s="848">
        <f t="shared" si="0"/>
        <v>19</v>
      </c>
    </row>
    <row r="17" spans="1:16" s="833" customFormat="1" ht="45.75" customHeight="1" x14ac:dyDescent="0.55000000000000004">
      <c r="A17" s="834" t="s">
        <v>745</v>
      </c>
      <c r="B17" s="835">
        <f>'[4]létszám ei mód RM I.'!F17</f>
        <v>27</v>
      </c>
      <c r="C17" s="836">
        <f>'[4]létszám ei mód RM I.'!G17</f>
        <v>27</v>
      </c>
      <c r="D17" s="837"/>
      <c r="E17" s="849"/>
      <c r="F17" s="850"/>
      <c r="G17" s="839">
        <f t="shared" si="1"/>
        <v>27</v>
      </c>
      <c r="H17" s="836">
        <v>27</v>
      </c>
      <c r="I17" s="835">
        <f>'[4]létszám ei mód RM I.'!L17</f>
        <v>1</v>
      </c>
      <c r="J17" s="828">
        <f>'[4]létszám ei mód RM I.'!M17</f>
        <v>1</v>
      </c>
      <c r="K17" s="835"/>
      <c r="L17" s="836"/>
      <c r="M17" s="839">
        <f t="shared" si="2"/>
        <v>1</v>
      </c>
      <c r="N17" s="836">
        <v>1</v>
      </c>
      <c r="O17" s="841">
        <f t="shared" si="0"/>
        <v>28</v>
      </c>
      <c r="P17" s="842">
        <f t="shared" si="0"/>
        <v>28</v>
      </c>
    </row>
    <row r="18" spans="1:16" s="833" customFormat="1" ht="45.75" customHeight="1" x14ac:dyDescent="0.55000000000000004">
      <c r="A18" s="834" t="s">
        <v>617</v>
      </c>
      <c r="B18" s="835">
        <f>'[4]létszám ei mód RM I.'!F18</f>
        <v>30</v>
      </c>
      <c r="C18" s="836">
        <f>'[4]létszám ei mód RM I.'!G18</f>
        <v>30</v>
      </c>
      <c r="D18" s="843"/>
      <c r="E18" s="835"/>
      <c r="F18" s="846"/>
      <c r="G18" s="846">
        <f t="shared" si="1"/>
        <v>30</v>
      </c>
      <c r="H18" s="840">
        <v>30</v>
      </c>
      <c r="I18" s="835">
        <f>'[4]létszám ei mód RM I.'!L18</f>
        <v>1</v>
      </c>
      <c r="J18" s="840">
        <f>'[4]létszám ei mód RM I.'!M18</f>
        <v>1</v>
      </c>
      <c r="K18" s="835"/>
      <c r="L18" s="840"/>
      <c r="M18" s="846">
        <f t="shared" si="2"/>
        <v>1</v>
      </c>
      <c r="N18" s="840">
        <v>1</v>
      </c>
      <c r="O18" s="847">
        <f t="shared" si="0"/>
        <v>31</v>
      </c>
      <c r="P18" s="848">
        <f t="shared" si="0"/>
        <v>31</v>
      </c>
    </row>
    <row r="19" spans="1:16" s="833" customFormat="1" ht="45.75" customHeight="1" x14ac:dyDescent="0.55000000000000004">
      <c r="A19" s="834" t="s">
        <v>618</v>
      </c>
      <c r="B19" s="835">
        <f>'[4]létszám ei mód RM I.'!F19</f>
        <v>15</v>
      </c>
      <c r="C19" s="836">
        <f>'[4]létszám ei mód RM I.'!G19</f>
        <v>15</v>
      </c>
      <c r="D19" s="837"/>
      <c r="E19" s="838"/>
      <c r="F19" s="839"/>
      <c r="G19" s="839">
        <f t="shared" si="1"/>
        <v>15</v>
      </c>
      <c r="H19" s="836">
        <v>15</v>
      </c>
      <c r="I19" s="835">
        <f>'[4]létszám ei mód RM I.'!L19</f>
        <v>1</v>
      </c>
      <c r="J19" s="828">
        <f>'[4]létszám ei mód RM I.'!M19</f>
        <v>1</v>
      </c>
      <c r="K19" s="835"/>
      <c r="L19" s="836"/>
      <c r="M19" s="839">
        <f t="shared" si="2"/>
        <v>1</v>
      </c>
      <c r="N19" s="836">
        <v>1</v>
      </c>
      <c r="O19" s="841">
        <f t="shared" si="0"/>
        <v>16</v>
      </c>
      <c r="P19" s="842">
        <f t="shared" si="0"/>
        <v>16</v>
      </c>
    </row>
    <row r="20" spans="1:16" s="833" customFormat="1" ht="45.75" customHeight="1" x14ac:dyDescent="0.55000000000000004">
      <c r="A20" s="834" t="s">
        <v>619</v>
      </c>
      <c r="B20" s="835">
        <f>'[4]létszám ei mód RM I.'!F20</f>
        <v>13.5</v>
      </c>
      <c r="C20" s="836">
        <f>'[4]létszám ei mód RM I.'!G20</f>
        <v>13</v>
      </c>
      <c r="D20" s="851"/>
      <c r="E20" s="835"/>
      <c r="F20" s="846"/>
      <c r="G20" s="846">
        <f t="shared" si="1"/>
        <v>13.5</v>
      </c>
      <c r="H20" s="840">
        <v>13</v>
      </c>
      <c r="I20" s="835">
        <f>'[4]létszám ei mód RM I.'!L20</f>
        <v>1.5</v>
      </c>
      <c r="J20" s="840">
        <f>'[4]létszám ei mód RM I.'!M20</f>
        <v>2</v>
      </c>
      <c r="K20" s="852"/>
      <c r="L20" s="846"/>
      <c r="M20" s="846">
        <f t="shared" si="2"/>
        <v>1.5</v>
      </c>
      <c r="N20" s="840">
        <v>2</v>
      </c>
      <c r="O20" s="847">
        <f t="shared" si="0"/>
        <v>15</v>
      </c>
      <c r="P20" s="848">
        <f t="shared" si="0"/>
        <v>15</v>
      </c>
    </row>
    <row r="21" spans="1:16" s="833" customFormat="1" ht="45.75" customHeight="1" x14ac:dyDescent="0.55000000000000004">
      <c r="A21" s="834" t="s">
        <v>620</v>
      </c>
      <c r="B21" s="835">
        <f>'[4]létszám ei mód RM I.'!F21</f>
        <v>19</v>
      </c>
      <c r="C21" s="836">
        <f>'[4]létszám ei mód RM I.'!G21</f>
        <v>19</v>
      </c>
      <c r="D21" s="837"/>
      <c r="E21" s="838"/>
      <c r="F21" s="839"/>
      <c r="G21" s="839">
        <f t="shared" si="1"/>
        <v>19</v>
      </c>
      <c r="H21" s="836">
        <v>19</v>
      </c>
      <c r="I21" s="835">
        <f>'[4]létszám ei mód RM I.'!L21</f>
        <v>1</v>
      </c>
      <c r="J21" s="828">
        <f>'[4]létszám ei mód RM I.'!M21</f>
        <v>1</v>
      </c>
      <c r="K21" s="835"/>
      <c r="L21" s="836"/>
      <c r="M21" s="839">
        <f t="shared" si="2"/>
        <v>1</v>
      </c>
      <c r="N21" s="836">
        <v>1</v>
      </c>
      <c r="O21" s="841">
        <f t="shared" si="0"/>
        <v>20</v>
      </c>
      <c r="P21" s="842">
        <f t="shared" si="0"/>
        <v>20</v>
      </c>
    </row>
    <row r="22" spans="1:16" s="833" customFormat="1" ht="45.75" customHeight="1" x14ac:dyDescent="0.55000000000000004">
      <c r="A22" s="834" t="s">
        <v>621</v>
      </c>
      <c r="B22" s="835">
        <f>'[4]létszám ei mód RM I.'!F22</f>
        <v>20</v>
      </c>
      <c r="C22" s="836">
        <f>'[4]létszám ei mód RM I.'!G22</f>
        <v>20</v>
      </c>
      <c r="D22" s="843"/>
      <c r="E22" s="835"/>
      <c r="F22" s="846"/>
      <c r="G22" s="846">
        <f t="shared" si="1"/>
        <v>20</v>
      </c>
      <c r="H22" s="840">
        <v>20</v>
      </c>
      <c r="I22" s="835">
        <f>'[4]létszám ei mód RM I.'!L22</f>
        <v>1</v>
      </c>
      <c r="J22" s="853">
        <f>'[4]létszám ei mód RM I.'!M22</f>
        <v>1</v>
      </c>
      <c r="K22" s="835"/>
      <c r="L22" s="846"/>
      <c r="M22" s="846">
        <f t="shared" si="2"/>
        <v>1</v>
      </c>
      <c r="N22" s="840">
        <v>1</v>
      </c>
      <c r="O22" s="847">
        <f t="shared" si="0"/>
        <v>21</v>
      </c>
      <c r="P22" s="848">
        <f t="shared" si="0"/>
        <v>21</v>
      </c>
    </row>
    <row r="23" spans="1:16" s="833" customFormat="1" ht="45.75" customHeight="1" x14ac:dyDescent="0.55000000000000004">
      <c r="A23" s="834" t="s">
        <v>622</v>
      </c>
      <c r="B23" s="835">
        <f>'[4]létszám ei mód RM I.'!F23</f>
        <v>31</v>
      </c>
      <c r="C23" s="836">
        <f>'[4]létszám ei mód RM I.'!G23</f>
        <v>31</v>
      </c>
      <c r="D23" s="837"/>
      <c r="E23" s="838"/>
      <c r="F23" s="839"/>
      <c r="G23" s="839">
        <f t="shared" si="1"/>
        <v>31</v>
      </c>
      <c r="H23" s="836">
        <v>31</v>
      </c>
      <c r="I23" s="835">
        <f>'[4]létszám ei mód RM I.'!L23</f>
        <v>1</v>
      </c>
      <c r="J23" s="840">
        <f>'[4]létszám ei mód RM I.'!M23</f>
        <v>1</v>
      </c>
      <c r="K23" s="835"/>
      <c r="L23" s="836"/>
      <c r="M23" s="839">
        <f t="shared" si="2"/>
        <v>1</v>
      </c>
      <c r="N23" s="836">
        <v>1</v>
      </c>
      <c r="O23" s="841">
        <f t="shared" si="0"/>
        <v>32</v>
      </c>
      <c r="P23" s="842">
        <f t="shared" si="0"/>
        <v>32</v>
      </c>
    </row>
    <row r="24" spans="1:16" s="833" customFormat="1" ht="45.75" customHeight="1" x14ac:dyDescent="0.55000000000000004">
      <c r="A24" s="834" t="s">
        <v>623</v>
      </c>
      <c r="B24" s="835">
        <f>'[4]létszám ei mód RM I.'!F24</f>
        <v>23</v>
      </c>
      <c r="C24" s="836">
        <f>'[4]létszám ei mód RM I.'!G24</f>
        <v>23</v>
      </c>
      <c r="D24" s="843"/>
      <c r="E24" s="835"/>
      <c r="F24" s="846"/>
      <c r="G24" s="846">
        <f t="shared" si="1"/>
        <v>23</v>
      </c>
      <c r="H24" s="840">
        <v>23</v>
      </c>
      <c r="I24" s="835">
        <f>'[4]létszám ei mód RM I.'!L24</f>
        <v>1</v>
      </c>
      <c r="J24" s="828">
        <f>'[4]létszám ei mód RM I.'!M24</f>
        <v>1</v>
      </c>
      <c r="K24" s="835"/>
      <c r="L24" s="840"/>
      <c r="M24" s="846">
        <f t="shared" si="2"/>
        <v>1</v>
      </c>
      <c r="N24" s="840">
        <v>1</v>
      </c>
      <c r="O24" s="847">
        <f t="shared" si="0"/>
        <v>24</v>
      </c>
      <c r="P24" s="848">
        <f t="shared" si="0"/>
        <v>24</v>
      </c>
    </row>
    <row r="25" spans="1:16" s="833" customFormat="1" ht="45.75" customHeight="1" x14ac:dyDescent="0.55000000000000004">
      <c r="A25" s="826" t="s">
        <v>624</v>
      </c>
      <c r="B25" s="835">
        <f>'[4]létszám ei mód RM I.'!F25</f>
        <v>17</v>
      </c>
      <c r="C25" s="853">
        <f>'[4]létszám ei mód RM I.'!G25</f>
        <v>17</v>
      </c>
      <c r="D25" s="854"/>
      <c r="E25" s="855"/>
      <c r="F25" s="856"/>
      <c r="G25" s="856">
        <f t="shared" si="1"/>
        <v>17</v>
      </c>
      <c r="H25" s="857">
        <v>17</v>
      </c>
      <c r="I25" s="835">
        <f>'[4]létszám ei mód RM I.'!L25</f>
        <v>1</v>
      </c>
      <c r="J25" s="840">
        <f>'[4]létszám ei mód RM I.'!M25</f>
        <v>1</v>
      </c>
      <c r="K25" s="835"/>
      <c r="L25" s="857"/>
      <c r="M25" s="856">
        <f t="shared" si="2"/>
        <v>1</v>
      </c>
      <c r="N25" s="857">
        <v>1</v>
      </c>
      <c r="O25" s="858">
        <f t="shared" si="0"/>
        <v>18</v>
      </c>
      <c r="P25" s="859">
        <f t="shared" si="0"/>
        <v>18</v>
      </c>
    </row>
    <row r="26" spans="1:16" s="833" customFormat="1" ht="45.75" customHeight="1" thickBot="1" x14ac:dyDescent="0.6">
      <c r="A26" s="860" t="s">
        <v>625</v>
      </c>
      <c r="B26" s="827">
        <f>'[4]létszám ei mód RM I.'!F26</f>
        <v>11.5</v>
      </c>
      <c r="C26" s="828">
        <f>'[4]létszám ei mód RM I.'!G26</f>
        <v>12</v>
      </c>
      <c r="D26" s="861"/>
      <c r="E26" s="862"/>
      <c r="F26" s="830"/>
      <c r="G26" s="830">
        <f t="shared" si="1"/>
        <v>11.5</v>
      </c>
      <c r="H26" s="828">
        <v>12</v>
      </c>
      <c r="I26" s="830">
        <f>'[4]létszám ei mód RM I.'!L26</f>
        <v>1.5</v>
      </c>
      <c r="J26" s="828">
        <f>'[4]létszám ei mód RM I.'!M26</f>
        <v>1</v>
      </c>
      <c r="K26" s="863"/>
      <c r="L26" s="828"/>
      <c r="M26" s="830">
        <f>I26+K26+L26</f>
        <v>1.5</v>
      </c>
      <c r="N26" s="828">
        <v>1</v>
      </c>
      <c r="O26" s="831">
        <f t="shared" si="0"/>
        <v>13</v>
      </c>
      <c r="P26" s="832">
        <f t="shared" si="0"/>
        <v>13</v>
      </c>
    </row>
    <row r="27" spans="1:16" s="833" customFormat="1" ht="45.75" customHeight="1" thickBot="1" x14ac:dyDescent="0.6">
      <c r="A27" s="864" t="s">
        <v>746</v>
      </c>
      <c r="B27" s="865">
        <f t="shared" ref="B27:P27" si="3">SUM(B9:B26)</f>
        <v>399</v>
      </c>
      <c r="C27" s="866">
        <f t="shared" si="3"/>
        <v>399</v>
      </c>
      <c r="D27" s="865">
        <f t="shared" si="3"/>
        <v>1</v>
      </c>
      <c r="E27" s="865">
        <f t="shared" si="3"/>
        <v>0</v>
      </c>
      <c r="F27" s="865">
        <f t="shared" si="3"/>
        <v>0</v>
      </c>
      <c r="G27" s="865">
        <f t="shared" si="3"/>
        <v>400</v>
      </c>
      <c r="H27" s="866">
        <f t="shared" si="3"/>
        <v>400</v>
      </c>
      <c r="I27" s="865">
        <f t="shared" si="3"/>
        <v>19</v>
      </c>
      <c r="J27" s="866">
        <f t="shared" si="3"/>
        <v>19</v>
      </c>
      <c r="K27" s="865">
        <f t="shared" si="3"/>
        <v>0</v>
      </c>
      <c r="L27" s="865">
        <f t="shared" si="3"/>
        <v>0</v>
      </c>
      <c r="M27" s="865">
        <f t="shared" si="3"/>
        <v>19</v>
      </c>
      <c r="N27" s="866">
        <f t="shared" si="3"/>
        <v>19</v>
      </c>
      <c r="O27" s="865">
        <f t="shared" si="3"/>
        <v>419</v>
      </c>
      <c r="P27" s="866">
        <f t="shared" si="3"/>
        <v>419</v>
      </c>
    </row>
    <row r="28" spans="1:16" s="833" customFormat="1" ht="44.25" customHeight="1" thickBot="1" x14ac:dyDescent="0.6">
      <c r="A28" s="867" t="s">
        <v>627</v>
      </c>
      <c r="B28" s="827">
        <f>'[4]létszám ei mód RM I.'!F28</f>
        <v>0</v>
      </c>
      <c r="C28" s="828">
        <f>'[4]létszám ei mód RM I.'!G28</f>
        <v>0</v>
      </c>
      <c r="D28" s="830"/>
      <c r="E28" s="830"/>
      <c r="F28" s="830"/>
      <c r="G28" s="830">
        <f>B28+D28+E28+F28</f>
        <v>0</v>
      </c>
      <c r="H28" s="828">
        <v>0</v>
      </c>
      <c r="I28" s="856">
        <f>'[4]létszám ei mód RM I.'!L28</f>
        <v>44</v>
      </c>
      <c r="J28" s="868">
        <f>'[4]létszám ei mód RM I.'!M28</f>
        <v>44</v>
      </c>
      <c r="K28" s="856"/>
      <c r="L28" s="835"/>
      <c r="M28" s="839">
        <f>I28+K28+L28</f>
        <v>44</v>
      </c>
      <c r="N28" s="868">
        <v>44</v>
      </c>
      <c r="O28" s="841">
        <f>G28+M28</f>
        <v>44</v>
      </c>
      <c r="P28" s="848">
        <f>H28+N28</f>
        <v>44</v>
      </c>
    </row>
    <row r="29" spans="1:16" s="833" customFormat="1" ht="42.75" customHeight="1" thickBot="1" x14ac:dyDescent="0.6">
      <c r="A29" s="864" t="s">
        <v>747</v>
      </c>
      <c r="B29" s="869">
        <f>SUM(B27:B28)</f>
        <v>399</v>
      </c>
      <c r="C29" s="870">
        <f>SUM(C27:C28)</f>
        <v>399</v>
      </c>
      <c r="D29" s="869">
        <f>D28+D27</f>
        <v>1</v>
      </c>
      <c r="E29" s="869">
        <f>E28+E27</f>
        <v>0</v>
      </c>
      <c r="F29" s="869">
        <f>F28+F27</f>
        <v>0</v>
      </c>
      <c r="G29" s="869">
        <f>SUM(G27:G28)</f>
        <v>400</v>
      </c>
      <c r="H29" s="870">
        <f>SUM(H27:H28)</f>
        <v>400</v>
      </c>
      <c r="I29" s="869">
        <f t="shared" ref="I29:P29" si="4">I28+I27</f>
        <v>63</v>
      </c>
      <c r="J29" s="870">
        <f t="shared" si="4"/>
        <v>63</v>
      </c>
      <c r="K29" s="869">
        <f t="shared" si="4"/>
        <v>0</v>
      </c>
      <c r="L29" s="869">
        <f t="shared" si="4"/>
        <v>0</v>
      </c>
      <c r="M29" s="869">
        <f t="shared" si="4"/>
        <v>63</v>
      </c>
      <c r="N29" s="870">
        <f t="shared" si="4"/>
        <v>63</v>
      </c>
      <c r="O29" s="869">
        <f t="shared" si="4"/>
        <v>463</v>
      </c>
      <c r="P29" s="870">
        <f t="shared" si="4"/>
        <v>463</v>
      </c>
    </row>
    <row r="30" spans="1:16" s="833" customFormat="1" ht="42.75" customHeight="1" x14ac:dyDescent="0.55000000000000004">
      <c r="A30" s="871" t="s">
        <v>748</v>
      </c>
      <c r="B30" s="872"/>
      <c r="C30" s="831"/>
      <c r="D30" s="831"/>
      <c r="E30" s="831"/>
      <c r="F30" s="831"/>
      <c r="G30" s="831"/>
      <c r="H30" s="831"/>
      <c r="I30" s="831"/>
      <c r="J30" s="831"/>
      <c r="K30" s="873"/>
      <c r="L30" s="872"/>
      <c r="M30" s="831"/>
      <c r="N30" s="831"/>
      <c r="O30" s="831"/>
      <c r="P30" s="831"/>
    </row>
    <row r="31" spans="1:16" s="833" customFormat="1" ht="45.75" customHeight="1" x14ac:dyDescent="0.55000000000000004">
      <c r="A31" s="819" t="s">
        <v>749</v>
      </c>
      <c r="B31" s="874"/>
      <c r="C31" s="831"/>
      <c r="D31" s="831"/>
      <c r="E31" s="831"/>
      <c r="F31" s="831"/>
      <c r="G31" s="831"/>
      <c r="H31" s="831"/>
      <c r="I31" s="875"/>
      <c r="J31" s="858"/>
      <c r="K31" s="873"/>
      <c r="L31" s="875"/>
      <c r="M31" s="831"/>
      <c r="N31" s="831"/>
      <c r="O31" s="831"/>
      <c r="P31" s="831"/>
    </row>
    <row r="32" spans="1:16" s="833" customFormat="1" ht="44.25" customHeight="1" x14ac:dyDescent="0.55000000000000004">
      <c r="A32" s="834" t="s">
        <v>98</v>
      </c>
      <c r="B32" s="835">
        <f>'[4]létszám ei mód RM I.'!F32</f>
        <v>18</v>
      </c>
      <c r="C32" s="836">
        <f>'[4]létszám ei mód RM I.'!G32</f>
        <v>18</v>
      </c>
      <c r="D32" s="846"/>
      <c r="E32" s="846"/>
      <c r="F32" s="846"/>
      <c r="G32" s="846">
        <f>B32+D32+E32+F32</f>
        <v>18</v>
      </c>
      <c r="H32" s="840">
        <v>18</v>
      </c>
      <c r="I32" s="830">
        <f>'[4]létszám ei mód RM I.'!L32</f>
        <v>1.75</v>
      </c>
      <c r="J32" s="828">
        <f>'[4]létszám ei mód RM I.'!M32</f>
        <v>2</v>
      </c>
      <c r="K32" s="876"/>
      <c r="L32" s="855"/>
      <c r="M32" s="846">
        <f>I32+K32+L32</f>
        <v>1.75</v>
      </c>
      <c r="N32" s="840">
        <v>2</v>
      </c>
      <c r="O32" s="847">
        <f t="shared" ref="O32:P35" si="5">G32+M32</f>
        <v>19.75</v>
      </c>
      <c r="P32" s="842">
        <f t="shared" si="5"/>
        <v>20</v>
      </c>
    </row>
    <row r="33" spans="1:16" s="833" customFormat="1" ht="44.25" customHeight="1" x14ac:dyDescent="0.55000000000000004">
      <c r="A33" s="834" t="s">
        <v>631</v>
      </c>
      <c r="B33" s="835">
        <f>'[4]létszám ei mód RM I.'!F33</f>
        <v>77</v>
      </c>
      <c r="C33" s="836">
        <f>'[4]létszám ei mód RM I.'!G33</f>
        <v>77</v>
      </c>
      <c r="D33" s="846"/>
      <c r="E33" s="846"/>
      <c r="F33" s="846"/>
      <c r="G33" s="846">
        <f>B33+D33+E33+F33</f>
        <v>77</v>
      </c>
      <c r="H33" s="840">
        <v>77</v>
      </c>
      <c r="I33" s="835">
        <f>'[4]létszám ei mód RM I.'!L33</f>
        <v>7.5</v>
      </c>
      <c r="J33" s="840">
        <f>'[4]létszám ei mód RM I.'!M33</f>
        <v>7</v>
      </c>
      <c r="K33" s="843"/>
      <c r="L33" s="855"/>
      <c r="M33" s="846">
        <f>I33+K33+L33</f>
        <v>7.5</v>
      </c>
      <c r="N33" s="840">
        <v>7</v>
      </c>
      <c r="O33" s="847">
        <f t="shared" si="5"/>
        <v>84.5</v>
      </c>
      <c r="P33" s="842">
        <f t="shared" si="5"/>
        <v>84</v>
      </c>
    </row>
    <row r="34" spans="1:16" s="833" customFormat="1" ht="44.25" customHeight="1" x14ac:dyDescent="0.55000000000000004">
      <c r="A34" s="834" t="s">
        <v>632</v>
      </c>
      <c r="B34" s="835">
        <f>'[4]létszám ei mód RM I.'!F34</f>
        <v>35</v>
      </c>
      <c r="C34" s="840">
        <f>'[4]létszám ei mód RM I.'!G34</f>
        <v>35</v>
      </c>
      <c r="D34" s="846"/>
      <c r="E34" s="846"/>
      <c r="F34" s="846"/>
      <c r="G34" s="846">
        <f>B34+D34+E34+F34</f>
        <v>35</v>
      </c>
      <c r="H34" s="840">
        <v>35</v>
      </c>
      <c r="I34" s="835">
        <f>'[4]létszám ei mód RM I.'!L34</f>
        <v>11</v>
      </c>
      <c r="J34" s="840">
        <f>'[4]létszám ei mód RM I.'!M34</f>
        <v>11</v>
      </c>
      <c r="K34" s="877"/>
      <c r="L34" s="855"/>
      <c r="M34" s="846">
        <f>I34+K34+L34</f>
        <v>11</v>
      </c>
      <c r="N34" s="840">
        <v>11</v>
      </c>
      <c r="O34" s="847">
        <f t="shared" si="5"/>
        <v>46</v>
      </c>
      <c r="P34" s="842">
        <f t="shared" si="5"/>
        <v>46</v>
      </c>
    </row>
    <row r="35" spans="1:16" s="833" customFormat="1" ht="44.25" customHeight="1" thickBot="1" x14ac:dyDescent="0.6">
      <c r="A35" s="878" t="s">
        <v>458</v>
      </c>
      <c r="B35" s="879">
        <f>'[4]létszám ei mód RM I.'!F35</f>
        <v>66.5</v>
      </c>
      <c r="C35" s="828">
        <f>'[4]létszám ei mód RM I.'!G35</f>
        <v>67</v>
      </c>
      <c r="D35" s="830"/>
      <c r="E35" s="830"/>
      <c r="F35" s="830"/>
      <c r="G35" s="830">
        <f>B35+D35+E35+F35</f>
        <v>66.5</v>
      </c>
      <c r="H35" s="828">
        <v>67</v>
      </c>
      <c r="I35" s="830">
        <f>'[4]létszám ei mód RM I.'!L35</f>
        <v>34.25</v>
      </c>
      <c r="J35" s="828">
        <f>'[4]létszám ei mód RM I.'!M35</f>
        <v>34</v>
      </c>
      <c r="K35" s="880"/>
      <c r="L35" s="879"/>
      <c r="M35" s="830">
        <f>I35+K35+L35</f>
        <v>34.25</v>
      </c>
      <c r="N35" s="828">
        <v>34</v>
      </c>
      <c r="O35" s="831">
        <f t="shared" si="5"/>
        <v>100.75</v>
      </c>
      <c r="P35" s="842">
        <f t="shared" si="5"/>
        <v>101</v>
      </c>
    </row>
    <row r="36" spans="1:16" s="833" customFormat="1" ht="44.25" customHeight="1" thickBot="1" x14ac:dyDescent="0.6">
      <c r="A36" s="864" t="s">
        <v>750</v>
      </c>
      <c r="B36" s="869">
        <f t="shared" ref="B36:P36" si="6">SUM(B32:B35)</f>
        <v>196.5</v>
      </c>
      <c r="C36" s="870">
        <f t="shared" si="6"/>
        <v>197</v>
      </c>
      <c r="D36" s="869">
        <f t="shared" si="6"/>
        <v>0</v>
      </c>
      <c r="E36" s="869">
        <f t="shared" si="6"/>
        <v>0</v>
      </c>
      <c r="F36" s="869">
        <f t="shared" si="6"/>
        <v>0</v>
      </c>
      <c r="G36" s="869">
        <f t="shared" si="6"/>
        <v>196.5</v>
      </c>
      <c r="H36" s="870">
        <f t="shared" si="6"/>
        <v>197</v>
      </c>
      <c r="I36" s="869">
        <f t="shared" si="6"/>
        <v>54.5</v>
      </c>
      <c r="J36" s="870">
        <f t="shared" si="6"/>
        <v>54</v>
      </c>
      <c r="K36" s="865">
        <f t="shared" si="6"/>
        <v>0</v>
      </c>
      <c r="L36" s="865">
        <f t="shared" si="6"/>
        <v>0</v>
      </c>
      <c r="M36" s="869">
        <f t="shared" si="6"/>
        <v>54.5</v>
      </c>
      <c r="N36" s="870">
        <f t="shared" si="6"/>
        <v>54</v>
      </c>
      <c r="O36" s="869">
        <f t="shared" si="6"/>
        <v>251</v>
      </c>
      <c r="P36" s="870">
        <f t="shared" si="6"/>
        <v>251</v>
      </c>
    </row>
    <row r="37" spans="1:16" s="833" customFormat="1" ht="45.75" customHeight="1" x14ac:dyDescent="0.55000000000000004">
      <c r="A37" s="871" t="s">
        <v>634</v>
      </c>
      <c r="B37" s="881"/>
      <c r="C37" s="881"/>
      <c r="D37" s="881"/>
      <c r="E37" s="881"/>
      <c r="F37" s="881"/>
      <c r="G37" s="881"/>
      <c r="H37" s="881"/>
      <c r="I37" s="881"/>
      <c r="J37" s="881"/>
      <c r="K37" s="881"/>
      <c r="L37" s="881"/>
      <c r="M37" s="881"/>
      <c r="N37" s="881"/>
      <c r="O37" s="881"/>
      <c r="P37" s="881"/>
    </row>
    <row r="38" spans="1:16" s="833" customFormat="1" ht="69" thickBot="1" x14ac:dyDescent="0.6">
      <c r="A38" s="882" t="s">
        <v>473</v>
      </c>
      <c r="B38" s="827">
        <f>'[4]létszám ei mód RM I.'!F38</f>
        <v>161.25</v>
      </c>
      <c r="C38" s="828">
        <f>'[4]létszám ei mód RM I.'!G38</f>
        <v>161</v>
      </c>
      <c r="D38" s="856"/>
      <c r="E38" s="856"/>
      <c r="F38" s="856"/>
      <c r="G38" s="856">
        <f>B38+D38+E38+F38</f>
        <v>161.25</v>
      </c>
      <c r="H38" s="857">
        <v>161</v>
      </c>
      <c r="I38" s="830">
        <f>'[4]létszám ei mód RM I.'!L38</f>
        <v>21.5</v>
      </c>
      <c r="J38" s="828">
        <f>'[4]létszám ei mód RM I.'!M38</f>
        <v>22</v>
      </c>
      <c r="K38" s="883"/>
      <c r="L38" s="855"/>
      <c r="M38" s="856">
        <f>I38+K38+L38</f>
        <v>21.5</v>
      </c>
      <c r="N38" s="857">
        <v>22</v>
      </c>
      <c r="O38" s="858">
        <f>G38+M38</f>
        <v>182.75</v>
      </c>
      <c r="P38" s="832">
        <f>H38+N38</f>
        <v>183</v>
      </c>
    </row>
    <row r="39" spans="1:16" s="833" customFormat="1" ht="44.25" customHeight="1" x14ac:dyDescent="0.55000000000000004">
      <c r="A39" s="871" t="s">
        <v>635</v>
      </c>
      <c r="B39" s="881"/>
      <c r="C39" s="881"/>
      <c r="D39" s="881"/>
      <c r="E39" s="881"/>
      <c r="F39" s="881"/>
      <c r="G39" s="881"/>
      <c r="H39" s="881"/>
      <c r="I39" s="881"/>
      <c r="J39" s="881"/>
      <c r="K39" s="881"/>
      <c r="L39" s="881"/>
      <c r="M39" s="881"/>
      <c r="N39" s="881"/>
      <c r="O39" s="881"/>
      <c r="P39" s="881"/>
    </row>
    <row r="40" spans="1:16" s="833" customFormat="1" ht="45.75" customHeight="1" thickBot="1" x14ac:dyDescent="0.6">
      <c r="A40" s="884" t="s">
        <v>636</v>
      </c>
      <c r="B40" s="862">
        <f>'[4]létszám ei mód RM I.'!F40</f>
        <v>45</v>
      </c>
      <c r="C40" s="885">
        <f>'[4]létszám ei mód RM I.'!G40</f>
        <v>45</v>
      </c>
      <c r="D40" s="883"/>
      <c r="E40" s="883"/>
      <c r="F40" s="883"/>
      <c r="G40" s="883">
        <f>B40+D40+E40+F40</f>
        <v>45</v>
      </c>
      <c r="H40" s="885">
        <v>45</v>
      </c>
      <c r="I40" s="862">
        <f>'[4]létszám ei mód RM I.'!L40</f>
        <v>27</v>
      </c>
      <c r="J40" s="885">
        <f>'[4]létszám ei mód RM I.'!M40</f>
        <v>27</v>
      </c>
      <c r="K40" s="883"/>
      <c r="L40" s="883"/>
      <c r="M40" s="883">
        <f>I40+K40+L40</f>
        <v>27</v>
      </c>
      <c r="N40" s="885">
        <v>27</v>
      </c>
      <c r="O40" s="886">
        <f>G40+M40</f>
        <v>72</v>
      </c>
      <c r="P40" s="887">
        <f>H40+N40</f>
        <v>72</v>
      </c>
    </row>
    <row r="41" spans="1:16" s="833" customFormat="1" ht="45" customHeight="1" x14ac:dyDescent="0.55000000000000004">
      <c r="A41" s="871" t="s">
        <v>637</v>
      </c>
      <c r="B41" s="881"/>
      <c r="C41" s="881"/>
      <c r="D41" s="881"/>
      <c r="E41" s="881"/>
      <c r="F41" s="881"/>
      <c r="G41" s="881"/>
      <c r="H41" s="881"/>
      <c r="I41" s="881"/>
      <c r="J41" s="881"/>
      <c r="K41" s="881"/>
      <c r="L41" s="881"/>
      <c r="M41" s="881"/>
      <c r="N41" s="881"/>
      <c r="O41" s="881"/>
      <c r="P41" s="881"/>
    </row>
    <row r="42" spans="1:16" s="833" customFormat="1" ht="44.25" customHeight="1" thickBot="1" x14ac:dyDescent="0.6">
      <c r="A42" s="884" t="s">
        <v>474</v>
      </c>
      <c r="B42" s="862">
        <f>'[4]létszám ei mód RM I.'!F42</f>
        <v>155.01</v>
      </c>
      <c r="C42" s="885">
        <f>'[4]létszám ei mód RM I.'!G42</f>
        <v>155</v>
      </c>
      <c r="D42" s="883"/>
      <c r="E42" s="883"/>
      <c r="F42" s="883"/>
      <c r="G42" s="883">
        <f>B42+D42+E42+F42</f>
        <v>155.01</v>
      </c>
      <c r="H42" s="885">
        <v>155</v>
      </c>
      <c r="I42" s="862">
        <f>'[4]létszám ei mód RM I.'!L42</f>
        <v>46.74499999999999</v>
      </c>
      <c r="J42" s="885">
        <f>'[4]létszám ei mód RM I.'!M42</f>
        <v>47</v>
      </c>
      <c r="K42" s="883"/>
      <c r="L42" s="883"/>
      <c r="M42" s="883">
        <f>I42+K42+L42</f>
        <v>46.74499999999999</v>
      </c>
      <c r="N42" s="885">
        <v>47</v>
      </c>
      <c r="O42" s="886">
        <f>G42+M42</f>
        <v>201.755</v>
      </c>
      <c r="P42" s="887">
        <f>H42+N42</f>
        <v>202</v>
      </c>
    </row>
    <row r="43" spans="1:16" s="833" customFormat="1" ht="45.75" customHeight="1" x14ac:dyDescent="0.55000000000000004">
      <c r="A43" s="871" t="s">
        <v>638</v>
      </c>
      <c r="B43" s="881"/>
      <c r="C43" s="881"/>
      <c r="D43" s="881"/>
      <c r="E43" s="881"/>
      <c r="F43" s="881"/>
      <c r="G43" s="881"/>
      <c r="H43" s="881"/>
      <c r="I43" s="881"/>
      <c r="J43" s="881"/>
      <c r="K43" s="881"/>
      <c r="L43" s="881"/>
      <c r="M43" s="881"/>
      <c r="N43" s="881"/>
      <c r="O43" s="881"/>
      <c r="P43" s="881"/>
    </row>
    <row r="44" spans="1:16" s="833" customFormat="1" ht="44.25" customHeight="1" x14ac:dyDescent="0.55000000000000004">
      <c r="A44" s="884" t="s">
        <v>649</v>
      </c>
      <c r="B44" s="830">
        <f>'[4]létszám ei mód RM I.'!F44</f>
        <v>1</v>
      </c>
      <c r="C44" s="828">
        <f>'[4]létszám ei mód RM I.'!G44</f>
        <v>1</v>
      </c>
      <c r="D44" s="888"/>
      <c r="E44" s="888"/>
      <c r="F44" s="888"/>
      <c r="G44" s="830">
        <f>B44+D44+E44+F44</f>
        <v>1</v>
      </c>
      <c r="H44" s="828">
        <v>1</v>
      </c>
      <c r="I44" s="830">
        <f>'[4]létszám ei mód RM I.'!L44</f>
        <v>13.5</v>
      </c>
      <c r="J44" s="828">
        <f>'[4]létszám ei mód RM I.'!M44</f>
        <v>13</v>
      </c>
      <c r="K44" s="831"/>
      <c r="L44" s="875"/>
      <c r="M44" s="830">
        <f>I44+K44+L44</f>
        <v>13.5</v>
      </c>
      <c r="N44" s="828">
        <v>13</v>
      </c>
      <c r="O44" s="831">
        <f>G44+M44</f>
        <v>14.5</v>
      </c>
      <c r="P44" s="832">
        <f>H44+N44</f>
        <v>14</v>
      </c>
    </row>
    <row r="45" spans="1:16" s="833" customFormat="1" ht="44.25" customHeight="1" thickBot="1" x14ac:dyDescent="0.6">
      <c r="A45" s="889" t="s">
        <v>4</v>
      </c>
      <c r="B45" s="879">
        <f>'[4]létszám ei mód RM I.'!F45</f>
        <v>301.5</v>
      </c>
      <c r="C45" s="890">
        <f>'[4]létszám ei mód RM I.'!G45</f>
        <v>302</v>
      </c>
      <c r="D45" s="891"/>
      <c r="E45" s="891"/>
      <c r="F45" s="891"/>
      <c r="G45" s="891">
        <f>B45+D45+E45+F45</f>
        <v>301.5</v>
      </c>
      <c r="H45" s="890">
        <v>302</v>
      </c>
      <c r="I45" s="891">
        <f>'[4]létszám ei mód RM I.'!L45</f>
        <v>0</v>
      </c>
      <c r="J45" s="890">
        <f>'[4]létszám ei mód RM I.'!M45</f>
        <v>0</v>
      </c>
      <c r="K45" s="892"/>
      <c r="L45" s="893"/>
      <c r="M45" s="891">
        <f>I45+K45+L45</f>
        <v>0</v>
      </c>
      <c r="N45" s="890">
        <v>0</v>
      </c>
      <c r="O45" s="894">
        <f>G45+M45</f>
        <v>301.5</v>
      </c>
      <c r="P45" s="892">
        <f>H45+N45</f>
        <v>302</v>
      </c>
    </row>
    <row r="46" spans="1:16" s="833" customFormat="1" ht="44.25" customHeight="1" thickBot="1" x14ac:dyDescent="0.6">
      <c r="A46" s="864" t="s">
        <v>751</v>
      </c>
      <c r="B46" s="886">
        <f t="shared" ref="B46:P46" si="7">SUM(B44:B45)</f>
        <v>302.5</v>
      </c>
      <c r="C46" s="887">
        <f t="shared" si="7"/>
        <v>303</v>
      </c>
      <c r="D46" s="886">
        <f t="shared" si="7"/>
        <v>0</v>
      </c>
      <c r="E46" s="886">
        <f t="shared" si="7"/>
        <v>0</v>
      </c>
      <c r="F46" s="886">
        <f>SUM(F44:F45)</f>
        <v>0</v>
      </c>
      <c r="G46" s="886">
        <f t="shared" si="7"/>
        <v>302.5</v>
      </c>
      <c r="H46" s="887">
        <f t="shared" si="7"/>
        <v>303</v>
      </c>
      <c r="I46" s="865">
        <f t="shared" si="7"/>
        <v>13.5</v>
      </c>
      <c r="J46" s="887">
        <f t="shared" si="7"/>
        <v>13</v>
      </c>
      <c r="K46" s="886">
        <f t="shared" si="7"/>
        <v>0</v>
      </c>
      <c r="L46" s="886">
        <f t="shared" si="7"/>
        <v>0</v>
      </c>
      <c r="M46" s="886">
        <f t="shared" si="7"/>
        <v>13.5</v>
      </c>
      <c r="N46" s="887">
        <f t="shared" si="7"/>
        <v>13</v>
      </c>
      <c r="O46" s="886">
        <f t="shared" si="7"/>
        <v>316</v>
      </c>
      <c r="P46" s="887">
        <f t="shared" si="7"/>
        <v>316</v>
      </c>
    </row>
    <row r="47" spans="1:16" s="833" customFormat="1" ht="44.25" customHeight="1" thickBot="1" x14ac:dyDescent="0.6">
      <c r="A47" s="895" t="s">
        <v>640</v>
      </c>
      <c r="B47" s="886">
        <f t="shared" ref="B47:P47" si="8">B36+B38+B40+B42+B46</f>
        <v>860.26</v>
      </c>
      <c r="C47" s="887">
        <f t="shared" si="8"/>
        <v>861</v>
      </c>
      <c r="D47" s="886">
        <f t="shared" si="8"/>
        <v>0</v>
      </c>
      <c r="E47" s="886">
        <f t="shared" si="8"/>
        <v>0</v>
      </c>
      <c r="F47" s="886">
        <f>F36+F38+F40+F42+F46</f>
        <v>0</v>
      </c>
      <c r="G47" s="886">
        <f t="shared" si="8"/>
        <v>860.26</v>
      </c>
      <c r="H47" s="887">
        <f t="shared" si="8"/>
        <v>861</v>
      </c>
      <c r="I47" s="886">
        <f t="shared" si="8"/>
        <v>163.245</v>
      </c>
      <c r="J47" s="887">
        <f t="shared" si="8"/>
        <v>163</v>
      </c>
      <c r="K47" s="886">
        <f t="shared" si="8"/>
        <v>0</v>
      </c>
      <c r="L47" s="886">
        <f t="shared" si="8"/>
        <v>0</v>
      </c>
      <c r="M47" s="886">
        <f t="shared" si="8"/>
        <v>163.245</v>
      </c>
      <c r="N47" s="887">
        <f t="shared" si="8"/>
        <v>163</v>
      </c>
      <c r="O47" s="886">
        <f t="shared" si="8"/>
        <v>1023.505</v>
      </c>
      <c r="P47" s="887">
        <f t="shared" si="8"/>
        <v>1024</v>
      </c>
    </row>
    <row r="48" spans="1:16" s="833" customFormat="1" ht="42.75" customHeight="1" thickBot="1" x14ac:dyDescent="0.6">
      <c r="A48" s="896" t="s">
        <v>641</v>
      </c>
      <c r="B48" s="886">
        <f t="shared" ref="B48:P48" si="9">B29+B47</f>
        <v>1259.26</v>
      </c>
      <c r="C48" s="887">
        <f t="shared" si="9"/>
        <v>1260</v>
      </c>
      <c r="D48" s="886">
        <f t="shared" si="9"/>
        <v>1</v>
      </c>
      <c r="E48" s="886">
        <f t="shared" si="9"/>
        <v>0</v>
      </c>
      <c r="F48" s="886">
        <f>F29+F47</f>
        <v>0</v>
      </c>
      <c r="G48" s="886">
        <f t="shared" si="9"/>
        <v>1260.26</v>
      </c>
      <c r="H48" s="887">
        <f t="shared" si="9"/>
        <v>1261</v>
      </c>
      <c r="I48" s="886">
        <f t="shared" si="9"/>
        <v>226.245</v>
      </c>
      <c r="J48" s="887">
        <f t="shared" si="9"/>
        <v>226</v>
      </c>
      <c r="K48" s="886">
        <f t="shared" si="9"/>
        <v>0</v>
      </c>
      <c r="L48" s="886">
        <f t="shared" si="9"/>
        <v>0</v>
      </c>
      <c r="M48" s="886">
        <f t="shared" si="9"/>
        <v>226.245</v>
      </c>
      <c r="N48" s="887">
        <f t="shared" si="9"/>
        <v>226</v>
      </c>
      <c r="O48" s="886">
        <f t="shared" si="9"/>
        <v>1486.5050000000001</v>
      </c>
      <c r="P48" s="887">
        <f t="shared" si="9"/>
        <v>1487</v>
      </c>
    </row>
    <row r="49" spans="1:16" s="833" customFormat="1" x14ac:dyDescent="0.5">
      <c r="A49" s="807"/>
      <c r="B49" s="897"/>
      <c r="C49" s="897"/>
      <c r="D49" s="897"/>
      <c r="E49" s="897"/>
      <c r="F49" s="897"/>
      <c r="G49" s="897"/>
      <c r="H49" s="897"/>
      <c r="I49" s="897"/>
      <c r="J49" s="897"/>
      <c r="K49" s="897"/>
      <c r="L49" s="897"/>
      <c r="M49" s="897"/>
      <c r="N49" s="897"/>
      <c r="O49" s="897"/>
      <c r="P49" s="897"/>
    </row>
    <row r="50" spans="1:16" x14ac:dyDescent="0.5">
      <c r="A50" s="807"/>
      <c r="B50" s="898"/>
      <c r="C50" s="898"/>
      <c r="D50" s="898"/>
      <c r="E50" s="898"/>
      <c r="F50" s="898"/>
      <c r="G50" s="898"/>
      <c r="H50" s="898"/>
      <c r="I50" s="898"/>
      <c r="J50" s="898"/>
      <c r="K50" s="898"/>
      <c r="L50" s="898"/>
      <c r="M50" s="898"/>
      <c r="N50" s="898"/>
      <c r="O50" s="898"/>
      <c r="P50" s="898"/>
    </row>
  </sheetData>
  <mergeCells count="15">
    <mergeCell ref="D7:F7"/>
    <mergeCell ref="K7:L7"/>
    <mergeCell ref="B6:C6"/>
    <mergeCell ref="D6:F6"/>
    <mergeCell ref="G6:H6"/>
    <mergeCell ref="I6:J6"/>
    <mergeCell ref="K6:L6"/>
    <mergeCell ref="M6:N6"/>
    <mergeCell ref="A1:P1"/>
    <mergeCell ref="A2:P2"/>
    <mergeCell ref="B3:J3"/>
    <mergeCell ref="B4:N4"/>
    <mergeCell ref="O4:P5"/>
    <mergeCell ref="B5:H5"/>
    <mergeCell ref="I5:N5"/>
  </mergeCells>
  <printOptions horizontalCentered="1" verticalCentered="1"/>
  <pageMargins left="3.937007874015748E-2" right="3.937007874015748E-2" top="0.74803149606299213" bottom="0.74803149606299213" header="0.31496062992125984" footer="0.31496062992125984"/>
  <pageSetup paperSize="9" scale="20" orientation="landscape" r:id="rId1"/>
  <headerFooter alignWithMargins="0">
    <oddHeader>&amp;L&amp;20&amp;F &amp;A&amp;R&amp;"Arial,Félkövér"&amp;32 7.  melléklet a 15/2025.(V.30.) önkormányzati rendelethez
"7. melléklet a 4/2025.(II.28.) önkormányzati rendelethez"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9"/>
  <dimension ref="A1:K38"/>
  <sheetViews>
    <sheetView zoomScale="91" zoomScaleNormal="91" zoomScaleSheetLayoutView="62" workbookViewId="0">
      <selection activeCell="A39" sqref="A39:XFD48"/>
    </sheetView>
  </sheetViews>
  <sheetFormatPr defaultRowHeight="15" customHeight="1" x14ac:dyDescent="0.25"/>
  <cols>
    <col min="1" max="1" width="108.33203125" style="77" bestFit="1" customWidth="1"/>
    <col min="2" max="2" width="28.33203125" style="77" bestFit="1" customWidth="1"/>
    <col min="3" max="3" width="34.33203125" style="77" bestFit="1" customWidth="1"/>
    <col min="4" max="4" width="31" style="78" customWidth="1"/>
    <col min="5" max="5" width="15" style="77" bestFit="1" customWidth="1"/>
    <col min="6" max="6" width="10.6640625" style="77" bestFit="1" customWidth="1"/>
    <col min="7" max="7" width="32" style="77" customWidth="1"/>
    <col min="8" max="16384" width="9.33203125" style="77"/>
  </cols>
  <sheetData>
    <row r="1" spans="1:11" ht="15" customHeight="1" x14ac:dyDescent="0.25">
      <c r="A1" s="75"/>
      <c r="B1" s="75"/>
      <c r="C1" s="75"/>
      <c r="D1" s="76"/>
    </row>
    <row r="2" spans="1:11" ht="15" customHeight="1" x14ac:dyDescent="0.25">
      <c r="A2" s="901" t="s">
        <v>51</v>
      </c>
      <c r="B2" s="901"/>
      <c r="C2" s="901"/>
      <c r="D2" s="901"/>
      <c r="E2" s="78"/>
      <c r="F2" s="78"/>
      <c r="G2" s="78"/>
      <c r="H2" s="78"/>
      <c r="I2" s="78"/>
      <c r="J2" s="78"/>
      <c r="K2" s="78"/>
    </row>
    <row r="3" spans="1:11" ht="15" customHeight="1" x14ac:dyDescent="0.25">
      <c r="A3" s="75"/>
      <c r="B3" s="75"/>
      <c r="C3" s="75"/>
      <c r="D3" s="76"/>
      <c r="E3" s="78"/>
      <c r="F3" s="78"/>
      <c r="G3" s="78"/>
      <c r="H3" s="78"/>
      <c r="I3" s="78"/>
      <c r="J3" s="78"/>
      <c r="K3" s="78"/>
    </row>
    <row r="4" spans="1:11" ht="19.5" thickBot="1" x14ac:dyDescent="0.35">
      <c r="A4" s="6" t="s">
        <v>36</v>
      </c>
      <c r="B4" s="6"/>
      <c r="C4" s="6"/>
      <c r="D4" s="154" t="s">
        <v>206</v>
      </c>
      <c r="E4" s="78"/>
      <c r="F4" s="78"/>
      <c r="G4" s="78"/>
      <c r="H4" s="78"/>
      <c r="I4" s="78"/>
      <c r="J4" s="78"/>
      <c r="K4" s="78"/>
    </row>
    <row r="5" spans="1:11" ht="20.100000000000001" customHeight="1" x14ac:dyDescent="0.25">
      <c r="A5" s="155" t="s">
        <v>158</v>
      </c>
      <c r="B5" s="19" t="s">
        <v>564</v>
      </c>
      <c r="C5" s="19" t="s">
        <v>560</v>
      </c>
      <c r="D5" s="19" t="s">
        <v>572</v>
      </c>
      <c r="E5" s="78"/>
      <c r="F5" s="78"/>
      <c r="G5" s="78"/>
      <c r="H5" s="78"/>
      <c r="I5" s="78"/>
      <c r="J5" s="78"/>
      <c r="K5" s="78"/>
    </row>
    <row r="6" spans="1:11" ht="16.5" thickBot="1" x14ac:dyDescent="0.3">
      <c r="A6" s="156"/>
      <c r="B6" s="88" t="s">
        <v>352</v>
      </c>
      <c r="C6" s="88" t="s">
        <v>561</v>
      </c>
      <c r="D6" s="88" t="s">
        <v>352</v>
      </c>
      <c r="E6" s="78"/>
      <c r="F6" s="78"/>
      <c r="G6" s="78"/>
      <c r="H6" s="78"/>
      <c r="I6" s="78"/>
      <c r="J6" s="78"/>
      <c r="K6" s="78"/>
    </row>
    <row r="7" spans="1:11" ht="21" x14ac:dyDescent="0.35">
      <c r="A7" s="157" t="s">
        <v>183</v>
      </c>
      <c r="B7" s="158">
        <v>3540900</v>
      </c>
      <c r="C7" s="158">
        <f>101937+1049-1000</f>
        <v>101986</v>
      </c>
      <c r="D7" s="158">
        <f>SUM(B7:C7)</f>
        <v>3642886</v>
      </c>
      <c r="F7" s="78"/>
      <c r="G7" s="78"/>
      <c r="H7" s="78"/>
      <c r="I7" s="78"/>
      <c r="J7" s="78"/>
      <c r="K7" s="78"/>
    </row>
    <row r="8" spans="1:11" ht="21.75" thickBot="1" x14ac:dyDescent="0.4">
      <c r="A8" s="172" t="s">
        <v>81</v>
      </c>
      <c r="B8" s="590">
        <v>2495269</v>
      </c>
      <c r="C8" s="590">
        <f>46360-889+10000</f>
        <v>55471</v>
      </c>
      <c r="D8" s="158">
        <f>SUM(B8:C8)</f>
        <v>2550740</v>
      </c>
      <c r="F8" s="78"/>
      <c r="G8" s="78"/>
      <c r="H8" s="78"/>
      <c r="I8" s="78"/>
      <c r="J8" s="78"/>
      <c r="K8" s="78"/>
    </row>
    <row r="9" spans="1:11" ht="21.75" thickBot="1" x14ac:dyDescent="0.4">
      <c r="A9" s="195" t="s">
        <v>196</v>
      </c>
      <c r="B9" s="548">
        <f>SUM(B7:B8)</f>
        <v>6036169</v>
      </c>
      <c r="C9" s="548">
        <f t="shared" ref="C9:D9" si="0">SUM(C7:C8)</f>
        <v>157457</v>
      </c>
      <c r="D9" s="548">
        <f t="shared" si="0"/>
        <v>6193626</v>
      </c>
      <c r="F9" s="78"/>
      <c r="G9" s="78"/>
      <c r="H9" s="78"/>
      <c r="I9" s="78"/>
      <c r="J9" s="78"/>
      <c r="K9" s="78"/>
    </row>
    <row r="10" spans="1:11" ht="21" x14ac:dyDescent="0.35">
      <c r="A10" s="157" t="s">
        <v>347</v>
      </c>
      <c r="B10" s="158">
        <v>0</v>
      </c>
      <c r="C10" s="160">
        <v>1894</v>
      </c>
      <c r="D10" s="158">
        <f t="shared" ref="D10:D16" si="1">SUM(B10:C10)</f>
        <v>1894</v>
      </c>
      <c r="F10" s="78"/>
      <c r="G10" s="78"/>
      <c r="H10" s="78"/>
      <c r="I10" s="78"/>
      <c r="J10" s="78"/>
      <c r="K10" s="78"/>
    </row>
    <row r="11" spans="1:11" ht="21" x14ac:dyDescent="0.35">
      <c r="A11" s="161" t="s">
        <v>424</v>
      </c>
      <c r="B11" s="32">
        <v>0</v>
      </c>
      <c r="C11" s="32">
        <v>7152</v>
      </c>
      <c r="D11" s="32">
        <f t="shared" si="1"/>
        <v>7152</v>
      </c>
      <c r="F11" s="78"/>
      <c r="G11" s="78"/>
      <c r="H11" s="78"/>
      <c r="I11" s="78"/>
      <c r="J11" s="78"/>
      <c r="K11" s="78"/>
    </row>
    <row r="12" spans="1:11" ht="21" x14ac:dyDescent="0.35">
      <c r="A12" s="161" t="s">
        <v>337</v>
      </c>
      <c r="B12" s="32">
        <v>800</v>
      </c>
      <c r="C12" s="32"/>
      <c r="D12" s="32">
        <f t="shared" si="1"/>
        <v>800</v>
      </c>
      <c r="E12" s="78"/>
      <c r="F12" s="78"/>
      <c r="G12" s="78"/>
      <c r="H12" s="78"/>
      <c r="I12" s="78"/>
      <c r="J12" s="78"/>
      <c r="K12" s="78"/>
    </row>
    <row r="13" spans="1:11" ht="21" x14ac:dyDescent="0.35">
      <c r="A13" s="162" t="s">
        <v>111</v>
      </c>
      <c r="B13" s="32">
        <v>500</v>
      </c>
      <c r="C13" s="32">
        <v>500</v>
      </c>
      <c r="D13" s="32">
        <f t="shared" si="1"/>
        <v>1000</v>
      </c>
      <c r="F13" s="78"/>
      <c r="G13" s="78"/>
      <c r="H13" s="78"/>
      <c r="I13" s="78"/>
      <c r="J13" s="78"/>
      <c r="K13" s="78"/>
    </row>
    <row r="14" spans="1:11" ht="39" customHeight="1" x14ac:dyDescent="0.35">
      <c r="A14" s="161" t="s">
        <v>431</v>
      </c>
      <c r="B14" s="32">
        <v>1800</v>
      </c>
      <c r="C14" s="32">
        <v>478</v>
      </c>
      <c r="D14" s="32">
        <f t="shared" si="1"/>
        <v>2278</v>
      </c>
      <c r="F14" s="78"/>
      <c r="G14" s="78"/>
      <c r="H14" s="78"/>
      <c r="I14" s="78"/>
      <c r="J14" s="78"/>
      <c r="K14" s="78"/>
    </row>
    <row r="15" spans="1:11" ht="21" x14ac:dyDescent="0.35">
      <c r="A15" s="157" t="s">
        <v>112</v>
      </c>
      <c r="B15" s="158">
        <v>10000</v>
      </c>
      <c r="C15" s="158">
        <v>-10000</v>
      </c>
      <c r="D15" s="158">
        <f t="shared" si="1"/>
        <v>0</v>
      </c>
      <c r="E15" s="78"/>
      <c r="F15" s="78"/>
      <c r="G15" s="78"/>
      <c r="H15" s="78"/>
      <c r="I15" s="78"/>
      <c r="J15" s="78"/>
      <c r="K15" s="78"/>
    </row>
    <row r="16" spans="1:11" ht="21" x14ac:dyDescent="0.35">
      <c r="A16" s="162" t="s">
        <v>446</v>
      </c>
      <c r="B16" s="32">
        <v>6000</v>
      </c>
      <c r="C16" s="32"/>
      <c r="D16" s="32">
        <f t="shared" si="1"/>
        <v>6000</v>
      </c>
      <c r="G16" s="78"/>
    </row>
    <row r="17" spans="1:7" ht="21" x14ac:dyDescent="0.35">
      <c r="A17" s="162" t="s">
        <v>394</v>
      </c>
      <c r="B17" s="32">
        <v>4842</v>
      </c>
      <c r="C17" s="32">
        <v>390</v>
      </c>
      <c r="D17" s="32">
        <f t="shared" ref="D17:D24" si="2">SUM(B17:C17)</f>
        <v>5232</v>
      </c>
      <c r="G17" s="78"/>
    </row>
    <row r="18" spans="1:7" ht="21" x14ac:dyDescent="0.35">
      <c r="A18" s="162" t="s">
        <v>132</v>
      </c>
      <c r="B18" s="32">
        <v>1250</v>
      </c>
      <c r="C18" s="32"/>
      <c r="D18" s="32">
        <f t="shared" si="2"/>
        <v>1250</v>
      </c>
      <c r="G18" s="78"/>
    </row>
    <row r="19" spans="1:7" ht="21" x14ac:dyDescent="0.35">
      <c r="A19" s="162" t="s">
        <v>70</v>
      </c>
      <c r="B19" s="32">
        <v>3000</v>
      </c>
      <c r="C19" s="32">
        <v>220</v>
      </c>
      <c r="D19" s="32">
        <f t="shared" si="2"/>
        <v>3220</v>
      </c>
      <c r="G19" s="78"/>
    </row>
    <row r="20" spans="1:7" ht="21" x14ac:dyDescent="0.35">
      <c r="A20" s="162" t="s">
        <v>54</v>
      </c>
      <c r="B20" s="32">
        <v>300</v>
      </c>
      <c r="C20" s="32">
        <v>50</v>
      </c>
      <c r="D20" s="32">
        <f t="shared" si="2"/>
        <v>350</v>
      </c>
      <c r="G20" s="78"/>
    </row>
    <row r="21" spans="1:7" ht="21" x14ac:dyDescent="0.35">
      <c r="A21" s="162" t="s">
        <v>378</v>
      </c>
      <c r="B21" s="32">
        <v>1500</v>
      </c>
      <c r="C21" s="32">
        <v>373</v>
      </c>
      <c r="D21" s="32">
        <f t="shared" si="2"/>
        <v>1873</v>
      </c>
      <c r="G21" s="78"/>
    </row>
    <row r="22" spans="1:7" ht="32.25" customHeight="1" x14ac:dyDescent="0.35">
      <c r="A22" s="164" t="s">
        <v>338</v>
      </c>
      <c r="B22" s="32">
        <v>1000</v>
      </c>
      <c r="C22" s="32">
        <v>626</v>
      </c>
      <c r="D22" s="32">
        <f t="shared" si="2"/>
        <v>1626</v>
      </c>
      <c r="G22" s="78"/>
    </row>
    <row r="23" spans="1:7" ht="21" x14ac:dyDescent="0.35">
      <c r="A23" s="164" t="s">
        <v>414</v>
      </c>
      <c r="B23" s="32">
        <v>2900</v>
      </c>
      <c r="C23" s="32"/>
      <c r="D23" s="32">
        <f t="shared" si="2"/>
        <v>2900</v>
      </c>
      <c r="G23" s="78"/>
    </row>
    <row r="24" spans="1:7" ht="21" x14ac:dyDescent="0.35">
      <c r="A24" s="165" t="s">
        <v>586</v>
      </c>
      <c r="B24" s="503"/>
      <c r="C24" s="503">
        <v>1000</v>
      </c>
      <c r="D24" s="32">
        <f t="shared" si="2"/>
        <v>1000</v>
      </c>
      <c r="G24" s="78"/>
    </row>
    <row r="25" spans="1:7" ht="21.75" thickBot="1" x14ac:dyDescent="0.4">
      <c r="A25" s="166" t="s">
        <v>42</v>
      </c>
      <c r="B25" s="167">
        <f>SUM(B10:B24)</f>
        <v>33892</v>
      </c>
      <c r="C25" s="167">
        <f>SUM(C10:C24)</f>
        <v>2683</v>
      </c>
      <c r="D25" s="168">
        <f>SUM(D10:D24)</f>
        <v>36575</v>
      </c>
      <c r="G25" s="78"/>
    </row>
    <row r="26" spans="1:7" ht="21.75" thickBot="1" x14ac:dyDescent="0.4">
      <c r="A26" s="166" t="s">
        <v>276</v>
      </c>
      <c r="B26" s="167">
        <f>+B25+B9</f>
        <v>6070061</v>
      </c>
      <c r="C26" s="167">
        <f>+C25+C9</f>
        <v>160140</v>
      </c>
      <c r="D26" s="168">
        <f>+D25+D9</f>
        <v>6230201</v>
      </c>
      <c r="G26" s="78"/>
    </row>
    <row r="27" spans="1:7" s="81" customFormat="1" ht="15.75" x14ac:dyDescent="0.25">
      <c r="D27" s="169"/>
      <c r="G27" s="78"/>
    </row>
    <row r="28" spans="1:7" s="81" customFormat="1" ht="19.5" thickBot="1" x14ac:dyDescent="0.35">
      <c r="A28" s="6" t="s">
        <v>80</v>
      </c>
      <c r="B28" s="6"/>
      <c r="C28" s="6"/>
      <c r="D28" s="42"/>
      <c r="G28" s="78"/>
    </row>
    <row r="29" spans="1:7" s="81" customFormat="1" ht="15.75" x14ac:dyDescent="0.25">
      <c r="A29" s="170" t="s">
        <v>158</v>
      </c>
      <c r="B29" s="19" t="s">
        <v>564</v>
      </c>
      <c r="C29" s="19" t="s">
        <v>560</v>
      </c>
      <c r="D29" s="19" t="s">
        <v>572</v>
      </c>
      <c r="G29" s="78"/>
    </row>
    <row r="30" spans="1:7" s="81" customFormat="1" ht="16.5" thickBot="1" x14ac:dyDescent="0.3">
      <c r="A30" s="171"/>
      <c r="B30" s="88" t="s">
        <v>352</v>
      </c>
      <c r="C30" s="88" t="s">
        <v>561</v>
      </c>
      <c r="D30" s="88" t="s">
        <v>352</v>
      </c>
      <c r="G30" s="78"/>
    </row>
    <row r="31" spans="1:7" s="81" customFormat="1" ht="21" x14ac:dyDescent="0.35">
      <c r="A31" s="231" t="s">
        <v>183</v>
      </c>
      <c r="B31" s="160"/>
      <c r="C31" s="160">
        <f>10425+216</f>
        <v>10641</v>
      </c>
      <c r="D31" s="160">
        <f>SUM(B31:C31)</f>
        <v>10641</v>
      </c>
      <c r="E31" s="77"/>
      <c r="G31" s="78"/>
    </row>
    <row r="32" spans="1:7" s="81" customFormat="1" ht="21" x14ac:dyDescent="0.35">
      <c r="A32" s="172" t="s">
        <v>81</v>
      </c>
      <c r="B32" s="173"/>
      <c r="C32" s="158">
        <f>48677+1972</f>
        <v>50649</v>
      </c>
      <c r="D32" s="158">
        <f>SUM(B32:C32)</f>
        <v>50649</v>
      </c>
      <c r="E32" s="77"/>
      <c r="G32" s="78"/>
    </row>
    <row r="33" spans="1:7" s="81" customFormat="1" ht="21.75" thickBot="1" x14ac:dyDescent="0.4">
      <c r="A33" s="159" t="s">
        <v>277</v>
      </c>
      <c r="B33" s="174">
        <f>SUM(B31:B32)</f>
        <v>0</v>
      </c>
      <c r="C33" s="174">
        <f>SUM(C31:C32)</f>
        <v>61290</v>
      </c>
      <c r="D33" s="57">
        <f>SUM(D31:D32)</f>
        <v>61290</v>
      </c>
      <c r="G33" s="78"/>
    </row>
    <row r="34" spans="1:7" s="81" customFormat="1" ht="21.75" thickBot="1" x14ac:dyDescent="0.4">
      <c r="B34" s="175"/>
      <c r="C34" s="175"/>
      <c r="D34" s="69"/>
      <c r="G34" s="78"/>
    </row>
    <row r="35" spans="1:7" s="81" customFormat="1" ht="21.75" thickBot="1" x14ac:dyDescent="0.4">
      <c r="A35" s="146" t="s">
        <v>278</v>
      </c>
      <c r="B35" s="58">
        <f>B26+B33</f>
        <v>6070061</v>
      </c>
      <c r="C35" s="58">
        <f t="shared" ref="C35:D35" si="3">C26+C33</f>
        <v>221430</v>
      </c>
      <c r="D35" s="58">
        <f t="shared" si="3"/>
        <v>6291491</v>
      </c>
      <c r="G35" s="78"/>
    </row>
    <row r="36" spans="1:7" s="81" customFormat="1" ht="15.75" x14ac:dyDescent="0.25">
      <c r="D36" s="169"/>
      <c r="G36" s="78"/>
    </row>
    <row r="37" spans="1:7" s="81" customFormat="1" ht="15.75" x14ac:dyDescent="0.25">
      <c r="A37" s="81" t="s">
        <v>72</v>
      </c>
      <c r="D37" s="176"/>
      <c r="G37" s="78"/>
    </row>
    <row r="38" spans="1:7" s="81" customFormat="1" ht="15.75" x14ac:dyDescent="0.25">
      <c r="A38" s="81" t="s">
        <v>73</v>
      </c>
      <c r="D38" s="169"/>
      <c r="G38" s="78"/>
    </row>
  </sheetData>
  <customSheetViews>
    <customSheetView guid="{6D4B996F-8915-4E78-98C2-E7EAE9C4580C}" scale="75" printArea="1" showRuler="0" topLeftCell="A46">
      <selection activeCell="B45" sqref="B45"/>
      <pageMargins left="0.39370078740157483" right="0.39370078740157483" top="0.59055118110236227" bottom="0.39370078740157483" header="0.31496062992125984" footer="0.31496062992125984"/>
      <printOptions horizontalCentered="1" verticalCentered="1"/>
      <pageSetup paperSize="9" scale="64" orientation="portrait" horizontalDpi="300" verticalDpi="300" r:id="rId1"/>
      <headerFooter alignWithMargins="0">
        <oddHeader>&amp;L&amp;F  &amp;A&amp;C&amp;"Times New Roman CE,Félkövér"&amp;14&amp;RM.III/2. sz. melléklet</oddHeader>
      </headerFooter>
    </customSheetView>
    <customSheetView guid="{186732C5-520C-4E06-B066-B4F3F0A3E322}" scale="75" showRuler="0" topLeftCell="A52">
      <selection activeCell="B59" sqref="B59"/>
      <pageMargins left="0.39370078740157483" right="0.39370078740157483" top="0.59055118110236227" bottom="0.39370078740157483" header="0.31496062992125984" footer="0.31496062992125984"/>
      <printOptions horizontalCentered="1" verticalCentered="1"/>
      <pageSetup paperSize="9" scale="64" orientation="portrait" horizontalDpi="300" verticalDpi="300" r:id="rId2"/>
      <headerFooter alignWithMargins="0">
        <oddHeader>&amp;L&amp;F  &amp;A&amp;C&amp;"Times New Roman CE,Félkövér"&amp;14&amp;RM.III/2.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"/>
  <pageSetup paperSize="9" scale="61" orientation="portrait" r:id="rId3"/>
  <headerFooter alignWithMargins="0">
    <oddHeader xml:space="preserve">&amp;R&amp;"-,Félkövér"&amp;12 
8. melléklet a 15/2025. (V.30.) önkormányzati rendelethez
"8. melléklet a 4/2025. (II.28) önkormányzati rendelethez"&amp;"Times New Roman CE,Félkövér"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0"/>
  <dimension ref="A1:D77"/>
  <sheetViews>
    <sheetView zoomScale="110" zoomScaleNormal="110" workbookViewId="0">
      <selection activeCell="A78" sqref="A78:XFD89"/>
    </sheetView>
  </sheetViews>
  <sheetFormatPr defaultRowHeight="21" customHeight="1" x14ac:dyDescent="0.25"/>
  <cols>
    <col min="1" max="1" width="121" style="77" customWidth="1"/>
    <col min="2" max="2" width="29.5" style="78" customWidth="1"/>
    <col min="3" max="3" width="34.6640625" style="78" bestFit="1" customWidth="1"/>
    <col min="4" max="4" width="29.5" style="78" bestFit="1" customWidth="1"/>
    <col min="5" max="16384" width="9.33203125" style="77"/>
  </cols>
  <sheetData>
    <row r="1" spans="1:4" ht="21" customHeight="1" x14ac:dyDescent="0.25">
      <c r="A1" s="75"/>
      <c r="B1" s="76"/>
      <c r="C1" s="76"/>
      <c r="D1" s="76"/>
    </row>
    <row r="2" spans="1:4" ht="21" customHeight="1" x14ac:dyDescent="0.35">
      <c r="A2" s="955" t="s">
        <v>279</v>
      </c>
      <c r="B2" s="955"/>
      <c r="C2" s="955"/>
      <c r="D2" s="955"/>
    </row>
    <row r="3" spans="1:4" ht="21" customHeight="1" x14ac:dyDescent="0.3">
      <c r="A3" s="177"/>
      <c r="B3" s="15"/>
      <c r="C3" s="15"/>
      <c r="D3" s="15"/>
    </row>
    <row r="4" spans="1:4" ht="21" customHeight="1" thickBot="1" x14ac:dyDescent="0.35">
      <c r="A4" s="6" t="s">
        <v>36</v>
      </c>
      <c r="B4" s="42"/>
      <c r="C4" s="42"/>
      <c r="D4" s="154" t="s">
        <v>206</v>
      </c>
    </row>
    <row r="5" spans="1:4" ht="21" customHeight="1" x14ac:dyDescent="0.25">
      <c r="A5" s="155" t="s">
        <v>158</v>
      </c>
      <c r="B5" s="19" t="s">
        <v>564</v>
      </c>
      <c r="C5" s="19" t="s">
        <v>560</v>
      </c>
      <c r="D5" s="19" t="s">
        <v>573</v>
      </c>
    </row>
    <row r="6" spans="1:4" ht="16.5" thickBot="1" x14ac:dyDescent="0.3">
      <c r="A6" s="178"/>
      <c r="B6" s="23" t="s">
        <v>352</v>
      </c>
      <c r="C6" s="23" t="s">
        <v>561</v>
      </c>
      <c r="D6" s="23" t="s">
        <v>352</v>
      </c>
    </row>
    <row r="7" spans="1:4" x14ac:dyDescent="0.35">
      <c r="A7" s="584" t="s">
        <v>480</v>
      </c>
      <c r="B7" s="180"/>
      <c r="C7" s="180"/>
      <c r="D7" s="180"/>
    </row>
    <row r="8" spans="1:4" ht="21.75" thickBot="1" x14ac:dyDescent="0.4">
      <c r="A8" s="627" t="s">
        <v>513</v>
      </c>
      <c r="B8" s="628">
        <v>162526</v>
      </c>
      <c r="C8" s="628">
        <f>54280+27055+19926</f>
        <v>101261</v>
      </c>
      <c r="D8" s="628">
        <f>SUM(B8:C8)</f>
        <v>263787</v>
      </c>
    </row>
    <row r="9" spans="1:4" ht="21.75" thickBot="1" x14ac:dyDescent="0.4">
      <c r="A9" s="625" t="s">
        <v>514</v>
      </c>
      <c r="B9" s="623">
        <v>581360</v>
      </c>
      <c r="C9" s="623">
        <f>241056+77726</f>
        <v>318782</v>
      </c>
      <c r="D9" s="628">
        <f>SUM(B9:C9)</f>
        <v>900142</v>
      </c>
    </row>
    <row r="10" spans="1:4" ht="21.75" thickBot="1" x14ac:dyDescent="0.4">
      <c r="A10" s="626" t="s">
        <v>336</v>
      </c>
      <c r="B10" s="629">
        <v>324895</v>
      </c>
      <c r="C10" s="629">
        <f>28625+130413+38000</f>
        <v>197038</v>
      </c>
      <c r="D10" s="629">
        <f>SUM(B10:C10)</f>
        <v>521933</v>
      </c>
    </row>
    <row r="11" spans="1:4" ht="21.75" thickBot="1" x14ac:dyDescent="0.4">
      <c r="A11" s="626" t="s">
        <v>458</v>
      </c>
      <c r="B11" s="629">
        <v>756427</v>
      </c>
      <c r="C11" s="629">
        <f>124310-27627+150+79910</f>
        <v>176743</v>
      </c>
      <c r="D11" s="629">
        <f>SUM(B11:C11)</f>
        <v>933170</v>
      </c>
    </row>
    <row r="12" spans="1:4" ht="21.75" thickBot="1" x14ac:dyDescent="0.4">
      <c r="A12" s="583" t="s">
        <v>515</v>
      </c>
      <c r="B12" s="58">
        <f>SUM(B8:B11)</f>
        <v>1825208</v>
      </c>
      <c r="C12" s="58">
        <f t="shared" ref="C12:D12" si="0">SUM(C8:C11)</f>
        <v>793824</v>
      </c>
      <c r="D12" s="58">
        <f t="shared" si="0"/>
        <v>2619032</v>
      </c>
    </row>
    <row r="13" spans="1:4" x14ac:dyDescent="0.35">
      <c r="A13" s="568" t="s">
        <v>481</v>
      </c>
      <c r="B13" s="144"/>
      <c r="C13" s="144"/>
      <c r="D13" s="144"/>
    </row>
    <row r="14" spans="1:4" x14ac:dyDescent="0.35">
      <c r="A14" s="10" t="s">
        <v>477</v>
      </c>
      <c r="B14" s="32">
        <v>373897</v>
      </c>
      <c r="C14" s="32">
        <v>-26510</v>
      </c>
      <c r="D14" s="32">
        <f>SUM(B14:C14)</f>
        <v>347387</v>
      </c>
    </row>
    <row r="15" spans="1:4" x14ac:dyDescent="0.35">
      <c r="A15" s="184" t="s">
        <v>479</v>
      </c>
      <c r="B15" s="32">
        <v>373897</v>
      </c>
      <c r="C15" s="32">
        <f>45312-71822</f>
        <v>-26510</v>
      </c>
      <c r="D15" s="32">
        <f>SUM(B15:C15)</f>
        <v>347387</v>
      </c>
    </row>
    <row r="16" spans="1:4" ht="33.75" thickBot="1" x14ac:dyDescent="0.4">
      <c r="A16" s="607" t="s">
        <v>577</v>
      </c>
      <c r="B16" s="37"/>
      <c r="C16" s="37">
        <v>71822</v>
      </c>
      <c r="D16" s="32">
        <f>SUM(B16:C16)</f>
        <v>71822</v>
      </c>
    </row>
    <row r="17" spans="1:4" s="81" customFormat="1" ht="21.75" thickBot="1" x14ac:dyDescent="0.4">
      <c r="A17" s="185" t="s">
        <v>478</v>
      </c>
      <c r="B17" s="58">
        <f>SUM(B14:B16)</f>
        <v>747794</v>
      </c>
      <c r="C17" s="58">
        <f t="shared" ref="C17:D17" si="1">SUM(C14:C16)</f>
        <v>18802</v>
      </c>
      <c r="D17" s="58">
        <f t="shared" si="1"/>
        <v>766596</v>
      </c>
    </row>
    <row r="18" spans="1:4" x14ac:dyDescent="0.35">
      <c r="A18" s="595" t="s">
        <v>482</v>
      </c>
      <c r="B18" s="44">
        <v>48651</v>
      </c>
      <c r="C18" s="44">
        <v>6754</v>
      </c>
      <c r="D18" s="44">
        <f>SUM(B18:C18)</f>
        <v>55405</v>
      </c>
    </row>
    <row r="19" spans="1:4" x14ac:dyDescent="0.35">
      <c r="A19" s="595" t="s">
        <v>517</v>
      </c>
      <c r="B19" s="44">
        <v>384000</v>
      </c>
      <c r="C19" s="44">
        <f>21000+24570</f>
        <v>45570</v>
      </c>
      <c r="D19" s="44">
        <f>SUM(B19:C19)</f>
        <v>429570</v>
      </c>
    </row>
    <row r="20" spans="1:4" s="81" customFormat="1" ht="21.75" thickBot="1" x14ac:dyDescent="0.4">
      <c r="A20" s="181" t="s">
        <v>483</v>
      </c>
      <c r="B20" s="124">
        <f>B17+B18+B19</f>
        <v>1180445</v>
      </c>
      <c r="C20" s="124">
        <f t="shared" ref="C20:D20" si="2">C17+C18+C19</f>
        <v>71126</v>
      </c>
      <c r="D20" s="124">
        <f t="shared" si="2"/>
        <v>1251571</v>
      </c>
    </row>
    <row r="21" spans="1:4" ht="42.75" customHeight="1" thickBot="1" x14ac:dyDescent="0.4">
      <c r="A21" s="569" t="s">
        <v>484</v>
      </c>
      <c r="B21" s="58">
        <f>B12+B20</f>
        <v>3005653</v>
      </c>
      <c r="C21" s="58">
        <f t="shared" ref="C21:D21" si="3">C12+C20</f>
        <v>864950</v>
      </c>
      <c r="D21" s="58">
        <f t="shared" si="3"/>
        <v>3870603</v>
      </c>
    </row>
    <row r="22" spans="1:4" x14ac:dyDescent="0.35">
      <c r="A22" s="570" t="s">
        <v>485</v>
      </c>
      <c r="B22" s="144"/>
      <c r="C22" s="144"/>
      <c r="D22" s="144"/>
    </row>
    <row r="23" spans="1:4" x14ac:dyDescent="0.35">
      <c r="A23" s="567" t="s">
        <v>486</v>
      </c>
      <c r="B23" s="43"/>
      <c r="C23" s="43"/>
      <c r="D23" s="43"/>
    </row>
    <row r="24" spans="1:4" x14ac:dyDescent="0.35">
      <c r="A24" s="10" t="s">
        <v>134</v>
      </c>
      <c r="B24" s="32">
        <v>3000</v>
      </c>
      <c r="C24" s="32"/>
      <c r="D24" s="32">
        <f>SUM(B24:C24)</f>
        <v>3000</v>
      </c>
    </row>
    <row r="25" spans="1:4" x14ac:dyDescent="0.35">
      <c r="A25" s="184" t="s">
        <v>55</v>
      </c>
      <c r="B25" s="32">
        <v>1200</v>
      </c>
      <c r="C25" s="32"/>
      <c r="D25" s="32">
        <f t="shared" ref="D25:D45" si="4">SUM(B25:C25)</f>
        <v>1200</v>
      </c>
    </row>
    <row r="26" spans="1:4" x14ac:dyDescent="0.35">
      <c r="A26" s="184" t="s">
        <v>413</v>
      </c>
      <c r="B26" s="32">
        <v>3000</v>
      </c>
      <c r="C26" s="32"/>
      <c r="D26" s="32">
        <f t="shared" si="4"/>
        <v>3000</v>
      </c>
    </row>
    <row r="27" spans="1:4" x14ac:dyDescent="0.35">
      <c r="A27" s="184" t="s">
        <v>38</v>
      </c>
      <c r="B27" s="32">
        <v>4000</v>
      </c>
      <c r="C27" s="32"/>
      <c r="D27" s="32">
        <f t="shared" si="4"/>
        <v>4000</v>
      </c>
    </row>
    <row r="28" spans="1:4" x14ac:dyDescent="0.35">
      <c r="A28" s="184" t="s">
        <v>39</v>
      </c>
      <c r="B28" s="32">
        <v>13000</v>
      </c>
      <c r="C28" s="32"/>
      <c r="D28" s="32">
        <f t="shared" si="4"/>
        <v>13000</v>
      </c>
    </row>
    <row r="29" spans="1:4" x14ac:dyDescent="0.35">
      <c r="A29" s="184" t="s">
        <v>40</v>
      </c>
      <c r="B29" s="32">
        <v>1000</v>
      </c>
      <c r="C29" s="32"/>
      <c r="D29" s="32">
        <f t="shared" si="4"/>
        <v>1000</v>
      </c>
    </row>
    <row r="30" spans="1:4" x14ac:dyDescent="0.35">
      <c r="A30" s="184" t="s">
        <v>554</v>
      </c>
      <c r="B30" s="32">
        <v>3000</v>
      </c>
      <c r="C30" s="32"/>
      <c r="D30" s="32">
        <f t="shared" si="4"/>
        <v>3000</v>
      </c>
    </row>
    <row r="31" spans="1:4" x14ac:dyDescent="0.35">
      <c r="A31" s="184" t="s">
        <v>340</v>
      </c>
      <c r="B31" s="32">
        <v>2000</v>
      </c>
      <c r="C31" s="32"/>
      <c r="D31" s="32">
        <f t="shared" si="4"/>
        <v>2000</v>
      </c>
    </row>
    <row r="32" spans="1:4" x14ac:dyDescent="0.35">
      <c r="A32" s="184" t="s">
        <v>56</v>
      </c>
      <c r="B32" s="32">
        <v>650</v>
      </c>
      <c r="C32" s="32"/>
      <c r="D32" s="32">
        <f t="shared" si="4"/>
        <v>650</v>
      </c>
    </row>
    <row r="33" spans="1:4" x14ac:dyDescent="0.35">
      <c r="A33" s="184" t="s">
        <v>199</v>
      </c>
      <c r="B33" s="32">
        <v>2000</v>
      </c>
      <c r="C33" s="32"/>
      <c r="D33" s="32">
        <f t="shared" si="4"/>
        <v>2000</v>
      </c>
    </row>
    <row r="34" spans="1:4" x14ac:dyDescent="0.35">
      <c r="A34" s="184" t="s">
        <v>332</v>
      </c>
      <c r="B34" s="32">
        <v>6000</v>
      </c>
      <c r="C34" s="32"/>
      <c r="D34" s="32">
        <f t="shared" si="4"/>
        <v>6000</v>
      </c>
    </row>
    <row r="35" spans="1:4" x14ac:dyDescent="0.35">
      <c r="A35" s="184" t="s">
        <v>396</v>
      </c>
      <c r="B35" s="32">
        <v>2000</v>
      </c>
      <c r="C35" s="32"/>
      <c r="D35" s="32">
        <f t="shared" si="4"/>
        <v>2000</v>
      </c>
    </row>
    <row r="36" spans="1:4" x14ac:dyDescent="0.35">
      <c r="A36" s="184" t="s">
        <v>126</v>
      </c>
      <c r="B36" s="32">
        <v>2000</v>
      </c>
      <c r="C36" s="32"/>
      <c r="D36" s="32">
        <f t="shared" si="4"/>
        <v>2000</v>
      </c>
    </row>
    <row r="37" spans="1:4" x14ac:dyDescent="0.35">
      <c r="A37" s="184" t="s">
        <v>197</v>
      </c>
      <c r="B37" s="32">
        <v>1600</v>
      </c>
      <c r="C37" s="32"/>
      <c r="D37" s="32">
        <f t="shared" si="4"/>
        <v>1600</v>
      </c>
    </row>
    <row r="38" spans="1:4" ht="46.5" customHeight="1" x14ac:dyDescent="0.35">
      <c r="A38" s="187" t="s">
        <v>198</v>
      </c>
      <c r="B38" s="32">
        <v>3500</v>
      </c>
      <c r="C38" s="32"/>
      <c r="D38" s="32">
        <f t="shared" si="4"/>
        <v>3500</v>
      </c>
    </row>
    <row r="39" spans="1:4" ht="33.6" customHeight="1" x14ac:dyDescent="0.35">
      <c r="A39" s="163" t="s">
        <v>341</v>
      </c>
      <c r="B39" s="32">
        <v>1200</v>
      </c>
      <c r="C39" s="32"/>
      <c r="D39" s="32">
        <f t="shared" si="4"/>
        <v>1200</v>
      </c>
    </row>
    <row r="40" spans="1:4" x14ac:dyDescent="0.35">
      <c r="A40" s="188" t="s">
        <v>345</v>
      </c>
      <c r="B40" s="32">
        <v>1500</v>
      </c>
      <c r="C40" s="32"/>
      <c r="D40" s="32">
        <f t="shared" si="4"/>
        <v>1500</v>
      </c>
    </row>
    <row r="41" spans="1:4" x14ac:dyDescent="0.35">
      <c r="A41" s="164" t="s">
        <v>333</v>
      </c>
      <c r="B41" s="32">
        <v>1000</v>
      </c>
      <c r="C41" s="32"/>
      <c r="D41" s="32">
        <f t="shared" si="4"/>
        <v>1000</v>
      </c>
    </row>
    <row r="42" spans="1:4" x14ac:dyDescent="0.35">
      <c r="A42" s="164" t="s">
        <v>466</v>
      </c>
      <c r="B42" s="32">
        <v>1000</v>
      </c>
      <c r="C42" s="32"/>
      <c r="D42" s="32">
        <f t="shared" si="4"/>
        <v>1000</v>
      </c>
    </row>
    <row r="43" spans="1:4" x14ac:dyDescent="0.35">
      <c r="A43" s="164" t="s">
        <v>467</v>
      </c>
      <c r="B43" s="32">
        <v>1000</v>
      </c>
      <c r="C43" s="32"/>
      <c r="D43" s="32">
        <f t="shared" si="4"/>
        <v>1000</v>
      </c>
    </row>
    <row r="44" spans="1:4" x14ac:dyDescent="0.35">
      <c r="A44" s="164" t="s">
        <v>442</v>
      </c>
      <c r="B44" s="32">
        <v>1000</v>
      </c>
      <c r="C44" s="32"/>
      <c r="D44" s="32">
        <f t="shared" si="4"/>
        <v>1000</v>
      </c>
    </row>
    <row r="45" spans="1:4" ht="21.75" thickBot="1" x14ac:dyDescent="0.4">
      <c r="A45" s="193" t="s">
        <v>207</v>
      </c>
      <c r="B45" s="237">
        <v>300</v>
      </c>
      <c r="C45" s="237"/>
      <c r="D45" s="237">
        <f t="shared" si="4"/>
        <v>300</v>
      </c>
    </row>
    <row r="46" spans="1:4" ht="21.75" thickBot="1" x14ac:dyDescent="0.4">
      <c r="A46" s="571" t="s">
        <v>487</v>
      </c>
      <c r="B46" s="124">
        <f>SUM(B24:B45)</f>
        <v>54950</v>
      </c>
      <c r="C46" s="124">
        <f>SUM(C24:C45)</f>
        <v>0</v>
      </c>
      <c r="D46" s="124">
        <f>SUM(D24:D45)</f>
        <v>54950</v>
      </c>
    </row>
    <row r="47" spans="1:4" ht="21.75" thickBot="1" x14ac:dyDescent="0.4">
      <c r="A47" s="572" t="s">
        <v>488</v>
      </c>
      <c r="B47" s="57">
        <v>0</v>
      </c>
      <c r="C47" s="57">
        <v>2050</v>
      </c>
      <c r="D47" s="57">
        <f>SUM(B47:C47)</f>
        <v>2050</v>
      </c>
    </row>
    <row r="48" spans="1:4" ht="37.5" customHeight="1" thickBot="1" x14ac:dyDescent="0.4">
      <c r="A48" s="573" t="s">
        <v>489</v>
      </c>
      <c r="B48" s="124">
        <f>B46+B47</f>
        <v>54950</v>
      </c>
      <c r="C48" s="124">
        <f>C46+C47</f>
        <v>2050</v>
      </c>
      <c r="D48" s="124">
        <f>D46+D47</f>
        <v>57000</v>
      </c>
    </row>
    <row r="49" spans="1:4" ht="21.75" thickBot="1" x14ac:dyDescent="0.4">
      <c r="A49" s="574" t="s">
        <v>490</v>
      </c>
      <c r="B49" s="58">
        <v>0</v>
      </c>
      <c r="C49" s="58">
        <v>0</v>
      </c>
      <c r="D49" s="58">
        <f>SUM(B49:C49)</f>
        <v>0</v>
      </c>
    </row>
    <row r="50" spans="1:4" x14ac:dyDescent="0.35">
      <c r="A50" s="575" t="s">
        <v>491</v>
      </c>
      <c r="B50" s="182"/>
      <c r="C50" s="182"/>
      <c r="D50" s="182"/>
    </row>
    <row r="51" spans="1:4" x14ac:dyDescent="0.35">
      <c r="A51" s="10" t="s">
        <v>419</v>
      </c>
      <c r="B51" s="32">
        <v>0</v>
      </c>
      <c r="C51" s="32">
        <f>324+5210</f>
        <v>5534</v>
      </c>
      <c r="D51" s="32">
        <f>SUM(B51:C51)</f>
        <v>5534</v>
      </c>
    </row>
    <row r="52" spans="1:4" x14ac:dyDescent="0.35">
      <c r="A52" s="194" t="s">
        <v>450</v>
      </c>
      <c r="B52" s="32">
        <v>27000</v>
      </c>
      <c r="C52" s="32">
        <v>5251</v>
      </c>
      <c r="D52" s="32">
        <f t="shared" ref="D52:D53" si="5">SUM(B52:C52)</f>
        <v>32251</v>
      </c>
    </row>
    <row r="53" spans="1:4" x14ac:dyDescent="0.35">
      <c r="A53" s="194" t="s">
        <v>363</v>
      </c>
      <c r="B53" s="32">
        <v>7500</v>
      </c>
      <c r="C53" s="32">
        <f>1314+1500</f>
        <v>2814</v>
      </c>
      <c r="D53" s="32">
        <f t="shared" si="5"/>
        <v>10314</v>
      </c>
    </row>
    <row r="54" spans="1:4" ht="21.75" thickBot="1" x14ac:dyDescent="0.4">
      <c r="A54" s="576" t="s">
        <v>492</v>
      </c>
      <c r="B54" s="57">
        <f>SUM(B51:B53)</f>
        <v>34500</v>
      </c>
      <c r="C54" s="57">
        <f>SUM(C51:C53)</f>
        <v>13599</v>
      </c>
      <c r="D54" s="57">
        <f>SUM(D51:D53)</f>
        <v>48099</v>
      </c>
    </row>
    <row r="55" spans="1:4" ht="21.75" thickBot="1" x14ac:dyDescent="0.4">
      <c r="A55" s="189" t="s">
        <v>493</v>
      </c>
      <c r="B55" s="57">
        <f>B49+B54</f>
        <v>34500</v>
      </c>
      <c r="C55" s="57">
        <f>C49+C54</f>
        <v>13599</v>
      </c>
      <c r="D55" s="57">
        <f>D49+D54</f>
        <v>48099</v>
      </c>
    </row>
    <row r="56" spans="1:4" x14ac:dyDescent="0.35">
      <c r="A56" s="179" t="s">
        <v>494</v>
      </c>
      <c r="B56" s="190"/>
      <c r="C56" s="190"/>
      <c r="D56" s="190"/>
    </row>
    <row r="57" spans="1:4" x14ac:dyDescent="0.35">
      <c r="A57" s="191" t="s">
        <v>259</v>
      </c>
      <c r="B57" s="32">
        <v>2023</v>
      </c>
      <c r="C57" s="192">
        <v>516</v>
      </c>
      <c r="D57" s="32">
        <f>SUM(B57:C57)</f>
        <v>2539</v>
      </c>
    </row>
    <row r="58" spans="1:4" x14ac:dyDescent="0.35">
      <c r="A58" s="191" t="s">
        <v>362</v>
      </c>
      <c r="B58" s="192">
        <v>5000</v>
      </c>
      <c r="C58" s="192">
        <v>834</v>
      </c>
      <c r="D58" s="32">
        <f t="shared" ref="D58:D59" si="6">SUM(B58:C58)</f>
        <v>5834</v>
      </c>
    </row>
    <row r="59" spans="1:4" ht="21.75" thickBot="1" x14ac:dyDescent="0.4">
      <c r="A59" s="581" t="s">
        <v>443</v>
      </c>
      <c r="B59" s="37">
        <v>0</v>
      </c>
      <c r="C59" s="37">
        <v>664</v>
      </c>
      <c r="D59" s="32">
        <f t="shared" si="6"/>
        <v>664</v>
      </c>
    </row>
    <row r="60" spans="1:4" ht="21.75" thickBot="1" x14ac:dyDescent="0.4">
      <c r="A60" s="582" t="s">
        <v>508</v>
      </c>
      <c r="B60" s="58">
        <f>SUM(B57:B59)</f>
        <v>7023</v>
      </c>
      <c r="C60" s="58">
        <f t="shared" ref="C60:D60" si="7">SUM(C57:C59)</f>
        <v>2014</v>
      </c>
      <c r="D60" s="58">
        <f t="shared" si="7"/>
        <v>9037</v>
      </c>
    </row>
    <row r="61" spans="1:4" ht="21.75" thickBot="1" x14ac:dyDescent="0.4">
      <c r="A61" s="577" t="s">
        <v>495</v>
      </c>
      <c r="B61" s="124">
        <f>B48+B55+B60</f>
        <v>96473</v>
      </c>
      <c r="C61" s="124">
        <f>C48+C55+C60</f>
        <v>17663</v>
      </c>
      <c r="D61" s="124">
        <f>D48+D55+D60</f>
        <v>114136</v>
      </c>
    </row>
    <row r="62" spans="1:4" ht="21.75" thickBot="1" x14ac:dyDescent="0.4">
      <c r="A62" s="578" t="s">
        <v>496</v>
      </c>
      <c r="B62" s="57">
        <f>B21+B61</f>
        <v>3102126</v>
      </c>
      <c r="C62" s="57">
        <f>C21+C61</f>
        <v>882613</v>
      </c>
      <c r="D62" s="57">
        <f>D21+D61</f>
        <v>3984739</v>
      </c>
    </row>
    <row r="63" spans="1:4" x14ac:dyDescent="0.35">
      <c r="A63" s="242"/>
      <c r="B63" s="69"/>
      <c r="C63" s="69"/>
      <c r="D63" s="69"/>
    </row>
    <row r="65" spans="1:4" ht="19.5" thickBot="1" x14ac:dyDescent="0.35">
      <c r="A65" s="6" t="s">
        <v>80</v>
      </c>
      <c r="B65" s="42"/>
      <c r="C65" s="42"/>
      <c r="D65" s="154"/>
    </row>
    <row r="66" spans="1:4" ht="15.75" x14ac:dyDescent="0.25">
      <c r="A66" s="170" t="s">
        <v>158</v>
      </c>
      <c r="B66" s="19" t="s">
        <v>574</v>
      </c>
      <c r="C66" s="19" t="s">
        <v>560</v>
      </c>
      <c r="D66" s="19" t="s">
        <v>573</v>
      </c>
    </row>
    <row r="67" spans="1:4" ht="16.5" thickBot="1" x14ac:dyDescent="0.3">
      <c r="A67" s="171"/>
      <c r="B67" s="23" t="s">
        <v>339</v>
      </c>
      <c r="C67" s="23" t="s">
        <v>561</v>
      </c>
      <c r="D67" s="23" t="s">
        <v>352</v>
      </c>
    </row>
    <row r="68" spans="1:4" x14ac:dyDescent="0.35">
      <c r="A68" s="630" t="s">
        <v>99</v>
      </c>
      <c r="B68" s="52">
        <v>0</v>
      </c>
      <c r="C68" s="52">
        <f>1+1000</f>
        <v>1001</v>
      </c>
      <c r="D68" s="52">
        <f>SUM(B68:C68)</f>
        <v>1001</v>
      </c>
    </row>
    <row r="69" spans="1:4" x14ac:dyDescent="0.35">
      <c r="A69" s="634" t="s">
        <v>89</v>
      </c>
      <c r="B69" s="635">
        <v>0</v>
      </c>
      <c r="C69" s="635">
        <v>2286</v>
      </c>
      <c r="D69" s="635">
        <f t="shared" ref="D69:D71" si="8">SUM(B69:C69)</f>
        <v>2286</v>
      </c>
    </row>
    <row r="70" spans="1:4" x14ac:dyDescent="0.35">
      <c r="A70" s="636" t="s">
        <v>109</v>
      </c>
      <c r="B70" s="637">
        <v>0</v>
      </c>
      <c r="C70" s="637">
        <v>12300</v>
      </c>
      <c r="D70" s="635">
        <f t="shared" si="8"/>
        <v>12300</v>
      </c>
    </row>
    <row r="71" spans="1:4" ht="21.75" thickBot="1" x14ac:dyDescent="0.4">
      <c r="A71" s="631" t="s">
        <v>149</v>
      </c>
      <c r="B71" s="632">
        <v>0</v>
      </c>
      <c r="C71" s="632">
        <f>5651+41033</f>
        <v>46684</v>
      </c>
      <c r="D71" s="633">
        <f t="shared" si="8"/>
        <v>46684</v>
      </c>
    </row>
    <row r="72" spans="1:4" ht="21.75" thickBot="1" x14ac:dyDescent="0.4">
      <c r="A72" s="197" t="s">
        <v>301</v>
      </c>
      <c r="B72" s="198">
        <f>SUM(B68:B71)</f>
        <v>0</v>
      </c>
      <c r="C72" s="198">
        <f t="shared" ref="C72:D72" si="9">SUM(C68:C71)</f>
        <v>62271</v>
      </c>
      <c r="D72" s="58">
        <f t="shared" si="9"/>
        <v>62271</v>
      </c>
    </row>
    <row r="73" spans="1:4" ht="21.75" thickBot="1" x14ac:dyDescent="0.4">
      <c r="A73" s="199"/>
      <c r="B73" s="200"/>
      <c r="C73" s="144"/>
      <c r="D73" s="144"/>
    </row>
    <row r="74" spans="1:4" ht="21.75" thickBot="1" x14ac:dyDescent="0.4">
      <c r="A74" s="201" t="s">
        <v>283</v>
      </c>
      <c r="B74" s="66">
        <f>B72+B62</f>
        <v>3102126</v>
      </c>
      <c r="C74" s="66">
        <f t="shared" ref="C74:D74" si="10">C72+C62</f>
        <v>944884</v>
      </c>
      <c r="D74" s="66">
        <f t="shared" si="10"/>
        <v>4047010</v>
      </c>
    </row>
    <row r="76" spans="1:4" ht="15.75" x14ac:dyDescent="0.25">
      <c r="A76" s="81" t="s">
        <v>72</v>
      </c>
      <c r="B76" s="169"/>
      <c r="C76" s="169"/>
      <c r="D76" s="176"/>
    </row>
    <row r="77" spans="1:4" ht="15.75" x14ac:dyDescent="0.25">
      <c r="A77" s="81" t="s">
        <v>73</v>
      </c>
      <c r="B77" s="169"/>
      <c r="C77" s="169"/>
      <c r="D77" s="169"/>
    </row>
  </sheetData>
  <customSheetViews>
    <customSheetView guid="{6D4B996F-8915-4E78-98C2-E7EAE9C4580C}" scale="75" showRuler="0" topLeftCell="A97">
      <selection activeCell="B111" sqref="B111"/>
      <rowBreaks count="2" manualBreakCount="2">
        <brk id="39" max="3" man="1"/>
        <brk id="81" max="3" man="1"/>
      </rowBreaks>
      <pageMargins left="0.39370078740157483" right="0.19685039370078741" top="0" bottom="0" header="0.70866141732283472" footer="0.11811023622047245"/>
      <printOptions horizontalCentered="1" verticalCentered="1"/>
      <pageSetup paperSize="9" scale="75" orientation="portrait" horizontalDpi="300" verticalDpi="300" r:id="rId1"/>
      <headerFooter alignWithMargins="0">
        <oddHeader>&amp;L&amp;F  &amp;A&amp;R&amp;"Times New Roman CE,Félkövér"&amp;14M.III/3. sz. melléklet</oddHeader>
      </headerFooter>
    </customSheetView>
    <customSheetView guid="{186732C5-520C-4E06-B066-B4F3F0A3E322}" scale="75" showRuler="0" topLeftCell="A98">
      <selection activeCell="B120" sqref="B120"/>
      <rowBreaks count="2" manualBreakCount="2">
        <brk id="39" max="3" man="1"/>
        <brk id="81" max="3" man="1"/>
      </rowBreaks>
      <pageMargins left="0.39370078740157483" right="0.19685039370078741" top="0" bottom="0" header="0.70866141732283472" footer="0.11811023622047245"/>
      <printOptions horizontalCentered="1" verticalCentered="1"/>
      <pageSetup paperSize="9" scale="75" orientation="portrait" horizontalDpi="300" verticalDpi="300" r:id="rId2"/>
      <headerFooter alignWithMargins="0">
        <oddHeader>&amp;L&amp;F  &amp;A&amp;R&amp;"Times New Roman CE,Félkövér"&amp;14M.III/3.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" right="0" top="0" bottom="0" header="0.19685039370078741" footer="0"/>
  <pageSetup paperSize="9" scale="37" orientation="portrait" r:id="rId3"/>
  <headerFooter alignWithMargins="0">
    <oddHeader xml:space="preserve">&amp;R&amp;"-,Félkövér"&amp;12 
9. melléklet a 15/2025. (V.30.) önkormányzati rendelethe&amp;"Times New Roman CE,Félkövér"z
"9. melléklet a 4/2025. (II.28) önkormányzati rendelethez"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24</vt:i4>
      </vt:variant>
    </vt:vector>
  </HeadingPairs>
  <TitlesOfParts>
    <vt:vector size="44" baseType="lpstr">
      <vt:lpstr>1 kiemelt ei. </vt:lpstr>
      <vt:lpstr>2 mérleg</vt:lpstr>
      <vt:lpstr>3 működési bevételek</vt:lpstr>
      <vt:lpstr>4 int bevétel</vt:lpstr>
      <vt:lpstr>5 normatíva</vt:lpstr>
      <vt:lpstr>6 int kiadás</vt:lpstr>
      <vt:lpstr>7 létszám</vt:lpstr>
      <vt:lpstr>8 oktatás</vt:lpstr>
      <vt:lpstr>9 kultúra</vt:lpstr>
      <vt:lpstr>10 szociális</vt:lpstr>
      <vt:lpstr>11 egészségügy</vt:lpstr>
      <vt:lpstr>12 gyermek és ifj.véd.</vt:lpstr>
      <vt:lpstr>13 egyéb</vt:lpstr>
      <vt:lpstr>14 sport</vt:lpstr>
      <vt:lpstr>15 város.ü.</vt:lpstr>
      <vt:lpstr>16 út-híd</vt:lpstr>
      <vt:lpstr>17 felhalm.bevétel </vt:lpstr>
      <vt:lpstr>18 felhalm.kiadás</vt:lpstr>
      <vt:lpstr>19 ei felh. terv bevétel</vt:lpstr>
      <vt:lpstr>19 ei. felh.terv kiadás</vt:lpstr>
      <vt:lpstr>'13 egyéb'!Nyomtatási_cím</vt:lpstr>
      <vt:lpstr>'3 működési bevételek'!Nyomtatási_cím</vt:lpstr>
      <vt:lpstr>'5 normatíva'!Nyomtatási_cím</vt:lpstr>
      <vt:lpstr>'7 létszám'!Nyomtatási_cím</vt:lpstr>
      <vt:lpstr>'1 kiemelt ei. '!Nyomtatási_terület</vt:lpstr>
      <vt:lpstr>'10 szociális'!Nyomtatási_terület</vt:lpstr>
      <vt:lpstr>'11 egészségügy'!Nyomtatási_terület</vt:lpstr>
      <vt:lpstr>'12 gyermek és ifj.véd.'!Nyomtatási_terület</vt:lpstr>
      <vt:lpstr>'13 egyéb'!Nyomtatási_terület</vt:lpstr>
      <vt:lpstr>'14 sport'!Nyomtatási_terület</vt:lpstr>
      <vt:lpstr>'15 város.ü.'!Nyomtatási_terület</vt:lpstr>
      <vt:lpstr>'16 út-híd'!Nyomtatási_terület</vt:lpstr>
      <vt:lpstr>'17 felhalm.bevétel '!Nyomtatási_terület</vt:lpstr>
      <vt:lpstr>'18 felhalm.kiadás'!Nyomtatási_terület</vt:lpstr>
      <vt:lpstr>'19 ei felh. terv bevétel'!Nyomtatási_terület</vt:lpstr>
      <vt:lpstr>'19 ei. felh.terv kiadás'!Nyomtatási_terület</vt:lpstr>
      <vt:lpstr>'2 mérleg'!Nyomtatási_terület</vt:lpstr>
      <vt:lpstr>'3 működési bevételek'!Nyomtatási_terület</vt:lpstr>
      <vt:lpstr>'4 int bevétel'!Nyomtatási_terület</vt:lpstr>
      <vt:lpstr>'5 normatíva'!Nyomtatási_terület</vt:lpstr>
      <vt:lpstr>'6 int kiadás'!Nyomtatási_terület</vt:lpstr>
      <vt:lpstr>'7 létszám'!Nyomtatási_terület</vt:lpstr>
      <vt:lpstr>'8 oktatás'!Nyomtatási_terület</vt:lpstr>
      <vt:lpstr>'9 kultúra'!Nyomtatási_terület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Stéger Gábor</dc:creator>
  <cp:lastModifiedBy>Szalai Gergő dr.</cp:lastModifiedBy>
  <cp:lastPrinted>2025-05-29T13:40:54Z</cp:lastPrinted>
  <dcterms:created xsi:type="dcterms:W3CDTF">1998-01-10T07:52:54Z</dcterms:created>
  <dcterms:modified xsi:type="dcterms:W3CDTF">2025-05-29T13:44:26Z</dcterms:modified>
</cp:coreProperties>
</file>