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enzugy\2024\Beszámol\Zárszámadás 2024\"/>
    </mc:Choice>
  </mc:AlternateContent>
  <xr:revisionPtr revIDLastSave="0" documentId="13_ncr:1_{2F9538C1-1AF6-4E80-98C8-0631B0D63EAF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1 kiemelt előirányzatok telj. " sheetId="53" r:id="rId1"/>
    <sheet name="2 mérleg " sheetId="41" r:id="rId2"/>
    <sheet name="3 bev.részl" sheetId="39" r:id="rId3"/>
    <sheet name="4 int.bev" sheetId="68" r:id="rId4"/>
    <sheet name="5 normativa" sheetId="71" r:id="rId5"/>
    <sheet name="6 int.kiad." sheetId="69" r:id="rId6"/>
    <sheet name="7 létszám " sheetId="70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4" r:id="rId19"/>
    <sheet name="20 közvetett támogatás" sheetId="55" r:id="rId20"/>
    <sheet name="21 Eu projektek" sheetId="56" r:id="rId21"/>
    <sheet name="22 többév1" sheetId="57" r:id="rId22"/>
    <sheet name="23 eszközök" sheetId="58" r:id="rId23"/>
    <sheet name="24 források" sheetId="59" r:id="rId24"/>
    <sheet name="25 lakásalapelsz" sheetId="60" r:id="rId25"/>
    <sheet name="26 segély" sheetId="61" r:id="rId26"/>
    <sheet name="27 kataszter" sheetId="62" r:id="rId27"/>
    <sheet name="28 vagyonkimutatás " sheetId="63" r:id="rId28"/>
    <sheet name="29 Részesedések" sheetId="67" r:id="rId29"/>
    <sheet name="30 Lízing" sheetId="66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h" localSheetId="4">#REF!</definedName>
    <definedName name="h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6">'7 létszám '!$1:$7</definedName>
    <definedName name="_xlnm.Print_Titles" localSheetId="8">'9 kult.'!$4:$6</definedName>
    <definedName name="_xlnm.Print_Area" localSheetId="0">'1 kiemelt előirányzatok telj. '!$A$1:$K$22</definedName>
    <definedName name="_xlnm.Print_Area" localSheetId="9">'10 szoc.'!$A$1:$E$43</definedName>
    <definedName name="_xlnm.Print_Area" localSheetId="10">'11 eü.'!$A$2:$E$28</definedName>
    <definedName name="_xlnm.Print_Area" localSheetId="11">'12 Gyerm.'!$A$2:$E$18</definedName>
    <definedName name="_xlnm.Print_Area" localSheetId="12">'13 egyéb'!$A$2:$E$109</definedName>
    <definedName name="_xlnm.Print_Area" localSheetId="13">'14 sport'!$A$2:$E$27</definedName>
    <definedName name="_xlnm.Print_Area" localSheetId="14">'15 város.ü.,körny'!$A$2:$I$29</definedName>
    <definedName name="_xlnm.Print_Area" localSheetId="15">'16 út-híd'!$A$1:$E$33</definedName>
    <definedName name="_xlnm.Print_Area" localSheetId="16">'17 fbev.'!$A$1:$F$41</definedName>
    <definedName name="_xlnm.Print_Area" localSheetId="17">'18 fkia.'!$A$1:$F$75</definedName>
    <definedName name="_xlnm.Print_Area" localSheetId="18">'19 pénzeszkváltsa'!$B$1:$C$12</definedName>
    <definedName name="_xlnm.Print_Area" localSheetId="1">'2 mérleg '!$A$2:$M$63</definedName>
    <definedName name="_xlnm.Print_Area" localSheetId="19">'20 közvetett támogatás'!$A$1:$C$23</definedName>
    <definedName name="_xlnm.Print_Area" localSheetId="20">'21 Eu projektek'!$B$1:$D$40</definedName>
    <definedName name="_xlnm.Print_Area" localSheetId="21">'22 többév1'!$B$1:$H$14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lakásalapelsz'!$B$3:$F$238</definedName>
    <definedName name="_xlnm.Print_Area" localSheetId="25">'26 segély'!$A$3:$F$18</definedName>
    <definedName name="_xlnm.Print_Area" localSheetId="26">'27 kataszter'!$A$2:$K$38</definedName>
    <definedName name="_xlnm.Print_Area" localSheetId="27">'28 vagyonkimutatás '!$B$5:$G$90</definedName>
    <definedName name="_xlnm.Print_Area" localSheetId="2">'3 bev.részl'!$A$1:$I$130</definedName>
    <definedName name="_xlnm.Print_Area" localSheetId="29">'30 Lízing'!$A$2:$D$15</definedName>
    <definedName name="_xlnm.Print_Area" localSheetId="3">'4 int.bev'!$A$1:$BG$49</definedName>
    <definedName name="_xlnm.Print_Area" localSheetId="4">'5 normativa'!$A$1:$E$99</definedName>
    <definedName name="_xlnm.Print_Area" localSheetId="5">'6 int.kiad.'!$A$1:$AV$49</definedName>
    <definedName name="_xlnm.Print_Area" localSheetId="6">'7 létszám '!$A$1:$G$48</definedName>
    <definedName name="_xlnm.Print_Area" localSheetId="7">'8 okt.'!$A$1:$E$40</definedName>
    <definedName name="_xlnm.Print_Area" localSheetId="8">'9 kult.'!$A$1:$E$79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>#REF!</definedName>
    <definedName name="rmI" localSheetId="25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>#REF!</definedName>
    <definedName name="Z_186732C5_520C_4E06_B066_B4F3F0A3E322_.wvu.PrintArea" localSheetId="16" hidden="1">'17 fbev.'!$A$1:$B$27</definedName>
    <definedName name="Z_186732C5_520C_4E06_B066_B4F3F0A3E322_.wvu.PrintArea" localSheetId="1" hidden="1">'2 mérleg '!$A$2:$I$63</definedName>
    <definedName name="Z_186732C5_520C_4E06_B066_B4F3F0A3E322_.wvu.PrintArea" localSheetId="20" hidden="1">'21 Eu projektek'!$B$3:$C$18</definedName>
    <definedName name="Z_186732C5_520C_4E06_B066_B4F3F0A3E322_.wvu.PrintArea" localSheetId="2" hidden="1">'3 bev.részl'!$A$1:$E$130</definedName>
    <definedName name="Z_186732C5_520C_4E06_B066_B4F3F0A3E322_.wvu.PrintArea" localSheetId="8" hidden="1">'9 kult.'!$A$1:$A$67</definedName>
    <definedName name="Z_6D4B996F_8915_4E78_98C2_E7EAE9C4580C_.wvu.PrintArea" localSheetId="16" hidden="1">'17 fbev.'!$A$1:$B$27</definedName>
    <definedName name="Z_6D4B996F_8915_4E78_98C2_E7EAE9C4580C_.wvu.PrintArea" localSheetId="1" hidden="1">'2 mérleg '!$A$2:$I$63</definedName>
    <definedName name="Z_6D4B996F_8915_4E78_98C2_E7EAE9C4580C_.wvu.PrintArea" localSheetId="20" hidden="1">'21 Eu projektek'!$B$3:$C$18</definedName>
    <definedName name="Z_6D4B996F_8915_4E78_98C2_E7EAE9C4580C_.wvu.PrintArea" localSheetId="2" hidden="1">'3 bev.részl'!$A$1:$E$130</definedName>
    <definedName name="Z_6D4B996F_8915_4E78_98C2_E7EAE9C4580C_.wvu.PrintArea" localSheetId="8" hidden="1">'9 kult.'!$A$1:$A$67</definedName>
    <definedName name="Z_F05CDCE5_D631_41F9_80C7_3F3E8464BF12_.wvu.PrintArea" localSheetId="6" hidden="1">'7 létszám '!$A$1:$E$48</definedName>
    <definedName name="Z_F05CDCE5_D631_41F9_80C7_3F3E8464BF12_.wvu.PrintTitles" localSheetId="6" hidden="1">'7 létszám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1" l="1"/>
  <c r="E7" i="9" l="1"/>
  <c r="E8" i="9"/>
  <c r="E74" i="36"/>
  <c r="E75" i="36"/>
  <c r="E76" i="36"/>
  <c r="E73" i="36"/>
  <c r="E11" i="9"/>
  <c r="E12" i="9"/>
  <c r="E32" i="11" l="1"/>
  <c r="E86" i="63" l="1"/>
  <c r="E90" i="63"/>
  <c r="F90" i="63"/>
  <c r="F26" i="63" l="1"/>
  <c r="F23" i="63"/>
  <c r="F42" i="63"/>
  <c r="E70" i="63"/>
  <c r="F68" i="63"/>
  <c r="E68" i="63"/>
  <c r="E85" i="63"/>
  <c r="G90" i="63"/>
  <c r="F86" i="63"/>
  <c r="F85" i="63" s="1"/>
  <c r="F38" i="63"/>
  <c r="E38" i="63"/>
  <c r="F34" i="63"/>
  <c r="E34" i="63"/>
  <c r="F25" i="63"/>
  <c r="E25" i="63"/>
  <c r="G22" i="63"/>
  <c r="E98" i="71"/>
  <c r="E97" i="71"/>
  <c r="D92" i="71"/>
  <c r="C92" i="71"/>
  <c r="B92" i="71"/>
  <c r="E91" i="71"/>
  <c r="E90" i="71"/>
  <c r="D89" i="71"/>
  <c r="C89" i="71"/>
  <c r="B89" i="71"/>
  <c r="E88" i="71"/>
  <c r="E87" i="71"/>
  <c r="E86" i="71"/>
  <c r="E85" i="71"/>
  <c r="E84" i="71"/>
  <c r="E83" i="71"/>
  <c r="C82" i="71"/>
  <c r="B82" i="71"/>
  <c r="D81" i="71"/>
  <c r="D80" i="71"/>
  <c r="E80" i="71" s="1"/>
  <c r="D77" i="71"/>
  <c r="C77" i="71"/>
  <c r="B77" i="71"/>
  <c r="E76" i="71"/>
  <c r="E75" i="71"/>
  <c r="E77" i="71" s="1"/>
  <c r="D73" i="71"/>
  <c r="C73" i="71"/>
  <c r="B73" i="71"/>
  <c r="E72" i="71"/>
  <c r="E71" i="71"/>
  <c r="E70" i="71"/>
  <c r="D66" i="71"/>
  <c r="C66" i="71"/>
  <c r="B66" i="71"/>
  <c r="E65" i="71"/>
  <c r="E64" i="71"/>
  <c r="E66" i="71" s="1"/>
  <c r="D62" i="71"/>
  <c r="C62" i="71"/>
  <c r="B62" i="71"/>
  <c r="E61" i="71"/>
  <c r="E60" i="71"/>
  <c r="E59" i="71"/>
  <c r="D56" i="71"/>
  <c r="C56" i="71"/>
  <c r="B56" i="71"/>
  <c r="E55" i="71"/>
  <c r="E54" i="71"/>
  <c r="E53" i="71"/>
  <c r="E52" i="71"/>
  <c r="E51" i="71"/>
  <c r="E50" i="71"/>
  <c r="E49" i="71"/>
  <c r="E48" i="71"/>
  <c r="C45" i="71"/>
  <c r="B45" i="71"/>
  <c r="D44" i="71"/>
  <c r="E44" i="71" s="1"/>
  <c r="D43" i="71"/>
  <c r="E43" i="71" s="1"/>
  <c r="D42" i="71"/>
  <c r="E42" i="71" s="1"/>
  <c r="E41" i="71"/>
  <c r="D40" i="71"/>
  <c r="E40" i="71" s="1"/>
  <c r="D39" i="71"/>
  <c r="E39" i="71" s="1"/>
  <c r="E38" i="71"/>
  <c r="E37" i="71"/>
  <c r="E36" i="71"/>
  <c r="D35" i="71"/>
  <c r="E35" i="71" s="1"/>
  <c r="D34" i="71"/>
  <c r="E34" i="71" s="1"/>
  <c r="E33" i="71"/>
  <c r="D32" i="71"/>
  <c r="E32" i="71" s="1"/>
  <c r="D31" i="71"/>
  <c r="E31" i="71" s="1"/>
  <c r="E30" i="71"/>
  <c r="E29" i="71"/>
  <c r="E28" i="71"/>
  <c r="E27" i="71"/>
  <c r="D26" i="71"/>
  <c r="E26" i="71" s="1"/>
  <c r="E25" i="71"/>
  <c r="D22" i="71"/>
  <c r="E22" i="71" s="1"/>
  <c r="D19" i="71"/>
  <c r="E19" i="71" s="1"/>
  <c r="E17" i="71"/>
  <c r="D14" i="71"/>
  <c r="C14" i="71"/>
  <c r="B14" i="71"/>
  <c r="E13" i="71"/>
  <c r="E12" i="71"/>
  <c r="E11" i="71"/>
  <c r="E10" i="71"/>
  <c r="E9" i="71"/>
  <c r="E8" i="71"/>
  <c r="E7" i="71"/>
  <c r="E6" i="71"/>
  <c r="E92" i="71" l="1"/>
  <c r="E62" i="71"/>
  <c r="D82" i="71"/>
  <c r="D93" i="71" s="1"/>
  <c r="E14" i="71"/>
  <c r="E73" i="71"/>
  <c r="B93" i="71"/>
  <c r="E56" i="71"/>
  <c r="C93" i="71"/>
  <c r="D67" i="71"/>
  <c r="E89" i="71"/>
  <c r="C67" i="71"/>
  <c r="C78" i="71" s="1"/>
  <c r="E81" i="71"/>
  <c r="E82" i="71" s="1"/>
  <c r="E93" i="71" s="1"/>
  <c r="E45" i="71"/>
  <c r="B67" i="71"/>
  <c r="B78" i="71" s="1"/>
  <c r="D45" i="71"/>
  <c r="D78" i="71" l="1"/>
  <c r="E67" i="71"/>
  <c r="E78" i="71" s="1"/>
  <c r="C94" i="71"/>
  <c r="C99" i="71"/>
  <c r="B99" i="71"/>
  <c r="B94" i="71"/>
  <c r="D94" i="71"/>
  <c r="D99" i="71"/>
  <c r="I8" i="53"/>
  <c r="E45" i="70"/>
  <c r="D45" i="70"/>
  <c r="C45" i="70"/>
  <c r="B45" i="70"/>
  <c r="E44" i="70"/>
  <c r="D44" i="70"/>
  <c r="C44" i="70"/>
  <c r="B44" i="70"/>
  <c r="E42" i="70"/>
  <c r="D42" i="70"/>
  <c r="C42" i="70"/>
  <c r="B42" i="70"/>
  <c r="E40" i="70"/>
  <c r="D40" i="70"/>
  <c r="C40" i="70"/>
  <c r="B40" i="70"/>
  <c r="E38" i="70"/>
  <c r="D38" i="70"/>
  <c r="C38" i="70"/>
  <c r="B38" i="70"/>
  <c r="E35" i="70"/>
  <c r="D35" i="70"/>
  <c r="C35" i="70"/>
  <c r="B35" i="70"/>
  <c r="E34" i="70"/>
  <c r="D34" i="70"/>
  <c r="C34" i="70"/>
  <c r="B34" i="70"/>
  <c r="E33" i="70"/>
  <c r="D33" i="70"/>
  <c r="C33" i="70"/>
  <c r="B33" i="70"/>
  <c r="E32" i="70"/>
  <c r="D32" i="70"/>
  <c r="C32" i="70"/>
  <c r="B32" i="70"/>
  <c r="B36" i="70" s="1"/>
  <c r="E28" i="70"/>
  <c r="D28" i="70"/>
  <c r="C28" i="70"/>
  <c r="B28" i="70"/>
  <c r="E26" i="70"/>
  <c r="D26" i="70"/>
  <c r="C26" i="70"/>
  <c r="B26" i="70"/>
  <c r="E25" i="70"/>
  <c r="D25" i="70"/>
  <c r="C25" i="70"/>
  <c r="B25" i="70"/>
  <c r="E24" i="70"/>
  <c r="D24" i="70"/>
  <c r="C24" i="70"/>
  <c r="B24" i="70"/>
  <c r="E23" i="70"/>
  <c r="D23" i="70"/>
  <c r="C23" i="70"/>
  <c r="B23" i="70"/>
  <c r="E22" i="70"/>
  <c r="D22" i="70"/>
  <c r="C22" i="70"/>
  <c r="B22" i="70"/>
  <c r="E21" i="70"/>
  <c r="D21" i="70"/>
  <c r="C21" i="70"/>
  <c r="B21" i="70"/>
  <c r="E20" i="70"/>
  <c r="D20" i="70"/>
  <c r="C20" i="70"/>
  <c r="B20" i="70"/>
  <c r="E19" i="70"/>
  <c r="D19" i="70"/>
  <c r="C19" i="70"/>
  <c r="B19" i="70"/>
  <c r="E18" i="70"/>
  <c r="D18" i="70"/>
  <c r="C18" i="70"/>
  <c r="B18" i="70"/>
  <c r="E17" i="70"/>
  <c r="D17" i="70"/>
  <c r="C17" i="70"/>
  <c r="B17" i="70"/>
  <c r="E16" i="70"/>
  <c r="D16" i="70"/>
  <c r="C16" i="70"/>
  <c r="B16" i="70"/>
  <c r="E15" i="70"/>
  <c r="D15" i="70"/>
  <c r="C15" i="70"/>
  <c r="B15" i="70"/>
  <c r="E14" i="70"/>
  <c r="D14" i="70"/>
  <c r="C14" i="70"/>
  <c r="B14" i="70"/>
  <c r="E13" i="70"/>
  <c r="D13" i="70"/>
  <c r="C13" i="70"/>
  <c r="B13" i="70"/>
  <c r="E12" i="70"/>
  <c r="D12" i="70"/>
  <c r="C12" i="70"/>
  <c r="B12" i="70"/>
  <c r="E11" i="70"/>
  <c r="D11" i="70"/>
  <c r="C11" i="70"/>
  <c r="B11" i="70"/>
  <c r="E10" i="70"/>
  <c r="D10" i="70"/>
  <c r="C10" i="70"/>
  <c r="B10" i="70"/>
  <c r="E9" i="70"/>
  <c r="D9" i="70"/>
  <c r="C9" i="70"/>
  <c r="B9" i="70"/>
  <c r="E99" i="71" l="1"/>
  <c r="E94" i="71"/>
  <c r="D46" i="70"/>
  <c r="F10" i="70"/>
  <c r="F12" i="70"/>
  <c r="F14" i="70"/>
  <c r="F16" i="70"/>
  <c r="F18" i="70"/>
  <c r="F20" i="70"/>
  <c r="F22" i="70"/>
  <c r="F24" i="70"/>
  <c r="F26" i="70"/>
  <c r="F34" i="70"/>
  <c r="F38" i="70"/>
  <c r="F45" i="70"/>
  <c r="G10" i="70"/>
  <c r="G12" i="70"/>
  <c r="G14" i="70"/>
  <c r="G16" i="70"/>
  <c r="G18" i="70"/>
  <c r="G20" i="70"/>
  <c r="G22" i="70"/>
  <c r="G24" i="70"/>
  <c r="G26" i="70"/>
  <c r="G34" i="70"/>
  <c r="G38" i="70"/>
  <c r="G42" i="70"/>
  <c r="D36" i="70"/>
  <c r="F15" i="70"/>
  <c r="F11" i="70"/>
  <c r="F13" i="70"/>
  <c r="F17" i="70"/>
  <c r="F19" i="70"/>
  <c r="F21" i="70"/>
  <c r="F23" i="70"/>
  <c r="F25" i="70"/>
  <c r="F28" i="70"/>
  <c r="F33" i="70"/>
  <c r="F35" i="70"/>
  <c r="F40" i="70"/>
  <c r="C46" i="70"/>
  <c r="G45" i="70"/>
  <c r="B46" i="70"/>
  <c r="B47" i="70" s="1"/>
  <c r="G11" i="70"/>
  <c r="G13" i="70"/>
  <c r="G17" i="70"/>
  <c r="G19" i="70"/>
  <c r="G21" i="70"/>
  <c r="G23" i="70"/>
  <c r="G25" i="70"/>
  <c r="G28" i="70"/>
  <c r="G33" i="70"/>
  <c r="G35" i="70"/>
  <c r="G40" i="70"/>
  <c r="G15" i="70"/>
  <c r="D27" i="70"/>
  <c r="D29" i="70" s="1"/>
  <c r="E46" i="70"/>
  <c r="C36" i="70"/>
  <c r="E27" i="70"/>
  <c r="E29" i="70" s="1"/>
  <c r="E36" i="70"/>
  <c r="F42" i="70"/>
  <c r="B27" i="70"/>
  <c r="B29" i="70" s="1"/>
  <c r="C27" i="70"/>
  <c r="C29" i="70" s="1"/>
  <c r="F9" i="70"/>
  <c r="G9" i="70"/>
  <c r="F32" i="70"/>
  <c r="F44" i="70"/>
  <c r="G32" i="70"/>
  <c r="G44" i="70"/>
  <c r="F46" i="70" l="1"/>
  <c r="D47" i="70"/>
  <c r="D48" i="70" s="1"/>
  <c r="G46" i="70"/>
  <c r="F36" i="70"/>
  <c r="C47" i="70"/>
  <c r="C48" i="70" s="1"/>
  <c r="G27" i="70"/>
  <c r="G29" i="70" s="1"/>
  <c r="F27" i="70"/>
  <c r="F29" i="70" s="1"/>
  <c r="B48" i="70"/>
  <c r="G36" i="70"/>
  <c r="E47" i="70"/>
  <c r="E48" i="70" s="1"/>
  <c r="F47" i="70" l="1"/>
  <c r="F48" i="70" s="1"/>
  <c r="G47" i="70"/>
  <c r="G48" i="70" s="1"/>
  <c r="AL47" i="69"/>
  <c r="AH47" i="69"/>
  <c r="AD47" i="69"/>
  <c r="U47" i="69"/>
  <c r="Q47" i="69"/>
  <c r="L47" i="69"/>
  <c r="H47" i="69"/>
  <c r="D47" i="69"/>
  <c r="AQ46" i="69"/>
  <c r="AK46" i="69"/>
  <c r="AJ46" i="69"/>
  <c r="AG46" i="69"/>
  <c r="AI46" i="69" s="1"/>
  <c r="AF46" i="69"/>
  <c r="AC46" i="69"/>
  <c r="AE46" i="69" s="1"/>
  <c r="AB46" i="69"/>
  <c r="Y46" i="69"/>
  <c r="T46" i="69"/>
  <c r="V46" i="69" s="1"/>
  <c r="S46" i="69"/>
  <c r="P46" i="69"/>
  <c r="O46" i="69"/>
  <c r="K46" i="69"/>
  <c r="M46" i="69" s="1"/>
  <c r="J46" i="69"/>
  <c r="G46" i="69"/>
  <c r="I46" i="69" s="1"/>
  <c r="F46" i="69"/>
  <c r="C46" i="69"/>
  <c r="E46" i="69" s="1"/>
  <c r="B46" i="69"/>
  <c r="AQ45" i="69"/>
  <c r="AQ47" i="69" s="1"/>
  <c r="AK45" i="69"/>
  <c r="AJ45" i="69"/>
  <c r="AG45" i="69"/>
  <c r="AI45" i="69" s="1"/>
  <c r="AF45" i="69"/>
  <c r="AC45" i="69"/>
  <c r="AE45" i="69" s="1"/>
  <c r="AB45" i="69"/>
  <c r="Y45" i="69"/>
  <c r="AU45" i="69" s="1"/>
  <c r="T45" i="69"/>
  <c r="S45" i="69"/>
  <c r="P45" i="69"/>
  <c r="O45" i="69"/>
  <c r="K45" i="69"/>
  <c r="J45" i="69"/>
  <c r="G45" i="69"/>
  <c r="F45" i="69"/>
  <c r="C45" i="69"/>
  <c r="B45" i="69"/>
  <c r="AQ43" i="69"/>
  <c r="AK43" i="69"/>
  <c r="AJ43" i="69"/>
  <c r="AG43" i="69"/>
  <c r="AI43" i="69" s="1"/>
  <c r="AF43" i="69"/>
  <c r="AC43" i="69"/>
  <c r="AE43" i="69" s="1"/>
  <c r="AB43" i="69"/>
  <c r="T43" i="69"/>
  <c r="S43" i="69"/>
  <c r="P43" i="69"/>
  <c r="O43" i="69"/>
  <c r="K43" i="69"/>
  <c r="M43" i="69" s="1"/>
  <c r="J43" i="69"/>
  <c r="G43" i="69"/>
  <c r="I43" i="69" s="1"/>
  <c r="F43" i="69"/>
  <c r="D43" i="69"/>
  <c r="Y43" i="69" s="1"/>
  <c r="C43" i="69"/>
  <c r="B43" i="69"/>
  <c r="AQ41" i="69"/>
  <c r="AK41" i="69"/>
  <c r="AJ41" i="69"/>
  <c r="AG41" i="69"/>
  <c r="AF41" i="69"/>
  <c r="AC41" i="69"/>
  <c r="AE41" i="69" s="1"/>
  <c r="AB41" i="69"/>
  <c r="Y41" i="69"/>
  <c r="T41" i="69"/>
  <c r="S41" i="69"/>
  <c r="P41" i="69"/>
  <c r="O41" i="69"/>
  <c r="K41" i="69"/>
  <c r="M41" i="69" s="1"/>
  <c r="J41" i="69"/>
  <c r="G41" i="69"/>
  <c r="I41" i="69" s="1"/>
  <c r="F41" i="69"/>
  <c r="C41" i="69"/>
  <c r="E41" i="69" s="1"/>
  <c r="B41" i="69"/>
  <c r="AQ39" i="69"/>
  <c r="AK39" i="69"/>
  <c r="AJ39" i="69"/>
  <c r="AG39" i="69"/>
  <c r="AI39" i="69" s="1"/>
  <c r="AF39" i="69"/>
  <c r="AC39" i="69"/>
  <c r="AB39" i="69"/>
  <c r="Y39" i="69"/>
  <c r="T39" i="69"/>
  <c r="V39" i="69" s="1"/>
  <c r="S39" i="69"/>
  <c r="P39" i="69"/>
  <c r="O39" i="69"/>
  <c r="K39" i="69"/>
  <c r="M39" i="69" s="1"/>
  <c r="J39" i="69"/>
  <c r="G39" i="69"/>
  <c r="I39" i="69" s="1"/>
  <c r="F39" i="69"/>
  <c r="C39" i="69"/>
  <c r="B39" i="69"/>
  <c r="AL37" i="69"/>
  <c r="AH37" i="69"/>
  <c r="AD37" i="69"/>
  <c r="U37" i="69"/>
  <c r="Q37" i="69"/>
  <c r="L37" i="69"/>
  <c r="H37" i="69"/>
  <c r="D37" i="69"/>
  <c r="AQ36" i="69"/>
  <c r="AK36" i="69"/>
  <c r="AJ36" i="69"/>
  <c r="AG36" i="69"/>
  <c r="AF36" i="69"/>
  <c r="AC36" i="69"/>
  <c r="AE36" i="69" s="1"/>
  <c r="AB36" i="69"/>
  <c r="Y36" i="69"/>
  <c r="AU36" i="69" s="1"/>
  <c r="T36" i="69"/>
  <c r="S36" i="69"/>
  <c r="P36" i="69"/>
  <c r="O36" i="69"/>
  <c r="K36" i="69"/>
  <c r="M36" i="69" s="1"/>
  <c r="J36" i="69"/>
  <c r="G36" i="69"/>
  <c r="I36" i="69" s="1"/>
  <c r="F36" i="69"/>
  <c r="C36" i="69"/>
  <c r="E36" i="69" s="1"/>
  <c r="B36" i="69"/>
  <c r="AQ35" i="69"/>
  <c r="AK35" i="69"/>
  <c r="AJ35" i="69"/>
  <c r="AG35" i="69"/>
  <c r="AF35" i="69"/>
  <c r="AC35" i="69"/>
  <c r="AE35" i="69" s="1"/>
  <c r="AB35" i="69"/>
  <c r="Y35" i="69"/>
  <c r="T35" i="69"/>
  <c r="S35" i="69"/>
  <c r="P35" i="69"/>
  <c r="O35" i="69"/>
  <c r="K35" i="69"/>
  <c r="M35" i="69" s="1"/>
  <c r="J35" i="69"/>
  <c r="G35" i="69"/>
  <c r="I35" i="69" s="1"/>
  <c r="F35" i="69"/>
  <c r="C35" i="69"/>
  <c r="B35" i="69"/>
  <c r="AQ34" i="69"/>
  <c r="AK34" i="69"/>
  <c r="AJ34" i="69"/>
  <c r="AG34" i="69"/>
  <c r="AF34" i="69"/>
  <c r="AC34" i="69"/>
  <c r="AE34" i="69" s="1"/>
  <c r="AB34" i="69"/>
  <c r="Y34" i="69"/>
  <c r="T34" i="69"/>
  <c r="S34" i="69"/>
  <c r="P34" i="69"/>
  <c r="O34" i="69"/>
  <c r="K34" i="69"/>
  <c r="M34" i="69" s="1"/>
  <c r="J34" i="69"/>
  <c r="G34" i="69"/>
  <c r="I34" i="69" s="1"/>
  <c r="F34" i="69"/>
  <c r="C34" i="69"/>
  <c r="B34" i="69"/>
  <c r="AQ33" i="69"/>
  <c r="AK33" i="69"/>
  <c r="AJ33" i="69"/>
  <c r="AG33" i="69"/>
  <c r="AF33" i="69"/>
  <c r="AC33" i="69"/>
  <c r="AB33" i="69"/>
  <c r="Y33" i="69"/>
  <c r="T33" i="69"/>
  <c r="S33" i="69"/>
  <c r="P33" i="69"/>
  <c r="O33" i="69"/>
  <c r="K33" i="69"/>
  <c r="J33" i="69"/>
  <c r="G33" i="69"/>
  <c r="F33" i="69"/>
  <c r="C33" i="69"/>
  <c r="E33" i="69" s="1"/>
  <c r="B33" i="69"/>
  <c r="Q30" i="69"/>
  <c r="AQ29" i="69"/>
  <c r="AK29" i="69"/>
  <c r="AJ29" i="69"/>
  <c r="AG29" i="69"/>
  <c r="AI29" i="69" s="1"/>
  <c r="AF29" i="69"/>
  <c r="AC29" i="69"/>
  <c r="AE29" i="69" s="1"/>
  <c r="AB29" i="69"/>
  <c r="Y29" i="69"/>
  <c r="T29" i="69"/>
  <c r="S29" i="69"/>
  <c r="P29" i="69"/>
  <c r="O29" i="69"/>
  <c r="K29" i="69"/>
  <c r="M29" i="69" s="1"/>
  <c r="J29" i="69"/>
  <c r="G29" i="69"/>
  <c r="I29" i="69" s="1"/>
  <c r="F29" i="69"/>
  <c r="C29" i="69"/>
  <c r="E29" i="69" s="1"/>
  <c r="B29" i="69"/>
  <c r="AL28" i="69"/>
  <c r="AL30" i="69" s="1"/>
  <c r="AH28" i="69"/>
  <c r="U28" i="69"/>
  <c r="U30" i="69" s="1"/>
  <c r="Q28" i="69"/>
  <c r="L28" i="69"/>
  <c r="H28" i="69"/>
  <c r="H30" i="69" s="1"/>
  <c r="D28" i="69"/>
  <c r="D30" i="69" s="1"/>
  <c r="AQ27" i="69"/>
  <c r="AK27" i="69"/>
  <c r="AJ27" i="69"/>
  <c r="AG27" i="69"/>
  <c r="AI27" i="69" s="1"/>
  <c r="AF27" i="69"/>
  <c r="AC27" i="69"/>
  <c r="AE27" i="69" s="1"/>
  <c r="AB27" i="69"/>
  <c r="Y27" i="69"/>
  <c r="T27" i="69"/>
  <c r="S27" i="69"/>
  <c r="P27" i="69"/>
  <c r="O27" i="69"/>
  <c r="K27" i="69"/>
  <c r="M27" i="69" s="1"/>
  <c r="J27" i="69"/>
  <c r="G27" i="69"/>
  <c r="I27" i="69" s="1"/>
  <c r="F27" i="69"/>
  <c r="C27" i="69"/>
  <c r="E27" i="69" s="1"/>
  <c r="B27" i="69"/>
  <c r="AQ26" i="69"/>
  <c r="AK26" i="69"/>
  <c r="AJ26" i="69"/>
  <c r="AG26" i="69"/>
  <c r="AF26" i="69"/>
  <c r="AC26" i="69"/>
  <c r="AB26" i="69"/>
  <c r="Y26" i="69"/>
  <c r="T26" i="69"/>
  <c r="S26" i="69"/>
  <c r="P26" i="69"/>
  <c r="O26" i="69"/>
  <c r="K26" i="69"/>
  <c r="M26" i="69" s="1"/>
  <c r="J26" i="69"/>
  <c r="G26" i="69"/>
  <c r="I26" i="69" s="1"/>
  <c r="F26" i="69"/>
  <c r="C26" i="69"/>
  <c r="B26" i="69"/>
  <c r="AQ25" i="69"/>
  <c r="AK25" i="69"/>
  <c r="AJ25" i="69"/>
  <c r="AG25" i="69"/>
  <c r="AF25" i="69"/>
  <c r="AC25" i="69"/>
  <c r="AE25" i="69" s="1"/>
  <c r="AB25" i="69"/>
  <c r="Y25" i="69"/>
  <c r="T25" i="69"/>
  <c r="S25" i="69"/>
  <c r="P25" i="69"/>
  <c r="O25" i="69"/>
  <c r="K25" i="69"/>
  <c r="M25" i="69" s="1"/>
  <c r="J25" i="69"/>
  <c r="G25" i="69"/>
  <c r="I25" i="69" s="1"/>
  <c r="F25" i="69"/>
  <c r="C25" i="69"/>
  <c r="B25" i="69"/>
  <c r="AQ24" i="69"/>
  <c r="AK24" i="69"/>
  <c r="AJ24" i="69"/>
  <c r="AG24" i="69"/>
  <c r="AI24" i="69" s="1"/>
  <c r="AF24" i="69"/>
  <c r="AC24" i="69"/>
  <c r="AE24" i="69" s="1"/>
  <c r="AB24" i="69"/>
  <c r="Y24" i="69"/>
  <c r="AU24" i="69" s="1"/>
  <c r="T24" i="69"/>
  <c r="S24" i="69"/>
  <c r="P24" i="69"/>
  <c r="O24" i="69"/>
  <c r="K24" i="69"/>
  <c r="M24" i="69" s="1"/>
  <c r="J24" i="69"/>
  <c r="G24" i="69"/>
  <c r="I24" i="69" s="1"/>
  <c r="F24" i="69"/>
  <c r="C24" i="69"/>
  <c r="B24" i="69"/>
  <c r="AQ23" i="69"/>
  <c r="AK23" i="69"/>
  <c r="AJ23" i="69"/>
  <c r="AG23" i="69"/>
  <c r="AI23" i="69" s="1"/>
  <c r="AF23" i="69"/>
  <c r="AC23" i="69"/>
  <c r="AE23" i="69" s="1"/>
  <c r="AB23" i="69"/>
  <c r="Y23" i="69"/>
  <c r="T23" i="69"/>
  <c r="S23" i="69"/>
  <c r="P23" i="69"/>
  <c r="O23" i="69"/>
  <c r="K23" i="69"/>
  <c r="M23" i="69" s="1"/>
  <c r="J23" i="69"/>
  <c r="G23" i="69"/>
  <c r="I23" i="69" s="1"/>
  <c r="F23" i="69"/>
  <c r="C23" i="69"/>
  <c r="B23" i="69"/>
  <c r="AQ22" i="69"/>
  <c r="AK22" i="69"/>
  <c r="AJ22" i="69"/>
  <c r="AG22" i="69"/>
  <c r="AI22" i="69" s="1"/>
  <c r="AF22" i="69"/>
  <c r="AC22" i="69"/>
  <c r="AE22" i="69" s="1"/>
  <c r="AB22" i="69"/>
  <c r="Y22" i="69"/>
  <c r="AU22" i="69" s="1"/>
  <c r="T22" i="69"/>
  <c r="S22" i="69"/>
  <c r="P22" i="69"/>
  <c r="O22" i="69"/>
  <c r="K22" i="69"/>
  <c r="M22" i="69" s="1"/>
  <c r="J22" i="69"/>
  <c r="G22" i="69"/>
  <c r="I22" i="69" s="1"/>
  <c r="F22" i="69"/>
  <c r="C22" i="69"/>
  <c r="B22" i="69"/>
  <c r="AQ21" i="69"/>
  <c r="AK21" i="69"/>
  <c r="AJ21" i="69"/>
  <c r="AG21" i="69"/>
  <c r="AF21" i="69"/>
  <c r="AC21" i="69"/>
  <c r="AE21" i="69" s="1"/>
  <c r="AB21" i="69"/>
  <c r="Y21" i="69"/>
  <c r="T21" i="69"/>
  <c r="S21" i="69"/>
  <c r="P21" i="69"/>
  <c r="O21" i="69"/>
  <c r="K21" i="69"/>
  <c r="M21" i="69" s="1"/>
  <c r="J21" i="69"/>
  <c r="G21" i="69"/>
  <c r="I21" i="69" s="1"/>
  <c r="F21" i="69"/>
  <c r="C21" i="69"/>
  <c r="B21" i="69"/>
  <c r="AQ20" i="69"/>
  <c r="AK20" i="69"/>
  <c r="AJ20" i="69"/>
  <c r="AG20" i="69"/>
  <c r="AF20" i="69"/>
  <c r="AC20" i="69"/>
  <c r="AE20" i="69" s="1"/>
  <c r="AB20" i="69"/>
  <c r="Y20" i="69"/>
  <c r="T20" i="69"/>
  <c r="S20" i="69"/>
  <c r="P20" i="69"/>
  <c r="O20" i="69"/>
  <c r="K20" i="69"/>
  <c r="M20" i="69" s="1"/>
  <c r="J20" i="69"/>
  <c r="G20" i="69"/>
  <c r="I20" i="69" s="1"/>
  <c r="F20" i="69"/>
  <c r="C20" i="69"/>
  <c r="E20" i="69" s="1"/>
  <c r="B20" i="69"/>
  <c r="AK19" i="69"/>
  <c r="AJ19" i="69"/>
  <c r="AG19" i="69"/>
  <c r="AF19" i="69"/>
  <c r="AD19" i="69"/>
  <c r="AC19" i="69"/>
  <c r="AB19" i="69"/>
  <c r="Y19" i="69"/>
  <c r="T19" i="69"/>
  <c r="S19" i="69"/>
  <c r="P19" i="69"/>
  <c r="O19" i="69"/>
  <c r="K19" i="69"/>
  <c r="M19" i="69" s="1"/>
  <c r="J19" i="69"/>
  <c r="G19" i="69"/>
  <c r="I19" i="69" s="1"/>
  <c r="F19" i="69"/>
  <c r="C19" i="69"/>
  <c r="E19" i="69" s="1"/>
  <c r="B19" i="69"/>
  <c r="AQ18" i="69"/>
  <c r="AK18" i="69"/>
  <c r="AJ18" i="69"/>
  <c r="AG18" i="69"/>
  <c r="AI18" i="69" s="1"/>
  <c r="AF18" i="69"/>
  <c r="AC18" i="69"/>
  <c r="AE18" i="69" s="1"/>
  <c r="AB18" i="69"/>
  <c r="Y18" i="69"/>
  <c r="T18" i="69"/>
  <c r="S18" i="69"/>
  <c r="P18" i="69"/>
  <c r="O18" i="69"/>
  <c r="K18" i="69"/>
  <c r="M18" i="69" s="1"/>
  <c r="J18" i="69"/>
  <c r="G18" i="69"/>
  <c r="I18" i="69" s="1"/>
  <c r="F18" i="69"/>
  <c r="C18" i="69"/>
  <c r="E18" i="69" s="1"/>
  <c r="B18" i="69"/>
  <c r="AQ17" i="69"/>
  <c r="AK17" i="69"/>
  <c r="AJ17" i="69"/>
  <c r="AG17" i="69"/>
  <c r="AF17" i="69"/>
  <c r="AC17" i="69"/>
  <c r="AE17" i="69" s="1"/>
  <c r="AB17" i="69"/>
  <c r="Y17" i="69"/>
  <c r="T17" i="69"/>
  <c r="S17" i="69"/>
  <c r="P17" i="69"/>
  <c r="O17" i="69"/>
  <c r="K17" i="69"/>
  <c r="M17" i="69" s="1"/>
  <c r="J17" i="69"/>
  <c r="G17" i="69"/>
  <c r="I17" i="69" s="1"/>
  <c r="F17" i="69"/>
  <c r="C17" i="69"/>
  <c r="E17" i="69" s="1"/>
  <c r="B17" i="69"/>
  <c r="AQ16" i="69"/>
  <c r="AK16" i="69"/>
  <c r="AJ16" i="69"/>
  <c r="AG16" i="69"/>
  <c r="AF16" i="69"/>
  <c r="AC16" i="69"/>
  <c r="AE16" i="69" s="1"/>
  <c r="AB16" i="69"/>
  <c r="Y16" i="69"/>
  <c r="T16" i="69"/>
  <c r="S16" i="69"/>
  <c r="P16" i="69"/>
  <c r="O16" i="69"/>
  <c r="K16" i="69"/>
  <c r="M16" i="69" s="1"/>
  <c r="J16" i="69"/>
  <c r="G16" i="69"/>
  <c r="I16" i="69" s="1"/>
  <c r="F16" i="69"/>
  <c r="C16" i="69"/>
  <c r="B16" i="69"/>
  <c r="AQ15" i="69"/>
  <c r="AK15" i="69"/>
  <c r="AJ15" i="69"/>
  <c r="AG15" i="69"/>
  <c r="AF15" i="69"/>
  <c r="AC15" i="69"/>
  <c r="AE15" i="69" s="1"/>
  <c r="AB15" i="69"/>
  <c r="Y15" i="69"/>
  <c r="T15" i="69"/>
  <c r="S15" i="69"/>
  <c r="P15" i="69"/>
  <c r="O15" i="69"/>
  <c r="K15" i="69"/>
  <c r="M15" i="69" s="1"/>
  <c r="J15" i="69"/>
  <c r="G15" i="69"/>
  <c r="I15" i="69" s="1"/>
  <c r="F15" i="69"/>
  <c r="C15" i="69"/>
  <c r="B15" i="69"/>
  <c r="AQ14" i="69"/>
  <c r="AK14" i="69"/>
  <c r="AJ14" i="69"/>
  <c r="AG14" i="69"/>
  <c r="AF14" i="69"/>
  <c r="AC14" i="69"/>
  <c r="AE14" i="69" s="1"/>
  <c r="AB14" i="69"/>
  <c r="Y14" i="69"/>
  <c r="T14" i="69"/>
  <c r="S14" i="69"/>
  <c r="P14" i="69"/>
  <c r="O14" i="69"/>
  <c r="K14" i="69"/>
  <c r="M14" i="69" s="1"/>
  <c r="J14" i="69"/>
  <c r="G14" i="69"/>
  <c r="I14" i="69" s="1"/>
  <c r="F14" i="69"/>
  <c r="C14" i="69"/>
  <c r="B14" i="69"/>
  <c r="AQ13" i="69"/>
  <c r="AK13" i="69"/>
  <c r="AJ13" i="69"/>
  <c r="AG13" i="69"/>
  <c r="AF13" i="69"/>
  <c r="AC13" i="69"/>
  <c r="AB13" i="69"/>
  <c r="Y13" i="69"/>
  <c r="T13" i="69"/>
  <c r="S13" i="69"/>
  <c r="P13" i="69"/>
  <c r="O13" i="69"/>
  <c r="K13" i="69"/>
  <c r="M13" i="69" s="1"/>
  <c r="J13" i="69"/>
  <c r="G13" i="69"/>
  <c r="I13" i="69" s="1"/>
  <c r="F13" i="69"/>
  <c r="C13" i="69"/>
  <c r="B13" i="69"/>
  <c r="AQ12" i="69"/>
  <c r="AK12" i="69"/>
  <c r="AJ12" i="69"/>
  <c r="AG12" i="69"/>
  <c r="AF12" i="69"/>
  <c r="AC12" i="69"/>
  <c r="AB12" i="69"/>
  <c r="Y12" i="69"/>
  <c r="AU12" i="69" s="1"/>
  <c r="T12" i="69"/>
  <c r="S12" i="69"/>
  <c r="P12" i="69"/>
  <c r="O12" i="69"/>
  <c r="K12" i="69"/>
  <c r="M12" i="69" s="1"/>
  <c r="J12" i="69"/>
  <c r="G12" i="69"/>
  <c r="I12" i="69" s="1"/>
  <c r="F12" i="69"/>
  <c r="C12" i="69"/>
  <c r="E12" i="69" s="1"/>
  <c r="B12" i="69"/>
  <c r="AQ11" i="69"/>
  <c r="AK11" i="69"/>
  <c r="AJ11" i="69"/>
  <c r="AG11" i="69"/>
  <c r="AF11" i="69"/>
  <c r="AC11" i="69"/>
  <c r="AE11" i="69" s="1"/>
  <c r="AB11" i="69"/>
  <c r="Y11" i="69"/>
  <c r="T11" i="69"/>
  <c r="S11" i="69"/>
  <c r="P11" i="69"/>
  <c r="O11" i="69"/>
  <c r="K11" i="69"/>
  <c r="M11" i="69" s="1"/>
  <c r="J11" i="69"/>
  <c r="G11" i="69"/>
  <c r="I11" i="69" s="1"/>
  <c r="F11" i="69"/>
  <c r="C11" i="69"/>
  <c r="E11" i="69" s="1"/>
  <c r="B11" i="69"/>
  <c r="AQ10" i="69"/>
  <c r="AK10" i="69"/>
  <c r="AJ10" i="69"/>
  <c r="AG10" i="69"/>
  <c r="AF10" i="69"/>
  <c r="AC10" i="69"/>
  <c r="AB10" i="69"/>
  <c r="Y10" i="69"/>
  <c r="T10" i="69"/>
  <c r="S10" i="69"/>
  <c r="P10" i="69"/>
  <c r="O10" i="69"/>
  <c r="K10" i="69"/>
  <c r="J10" i="69"/>
  <c r="G10" i="69"/>
  <c r="I10" i="69" s="1"/>
  <c r="F10" i="69"/>
  <c r="C10" i="69"/>
  <c r="E10" i="69" s="1"/>
  <c r="B10" i="69"/>
  <c r="AX48" i="68"/>
  <c r="AO47" i="68"/>
  <c r="AM47" i="68"/>
  <c r="AG47" i="68"/>
  <c r="AC47" i="68"/>
  <c r="Y47" i="68"/>
  <c r="P47" i="68"/>
  <c r="L47" i="68"/>
  <c r="H47" i="68"/>
  <c r="D47" i="68"/>
  <c r="AW46" i="68"/>
  <c r="AY46" i="68" s="1"/>
  <c r="AV46" i="68"/>
  <c r="AT46" i="68"/>
  <c r="BB46" i="68" s="1"/>
  <c r="AS46" i="68"/>
  <c r="AR46" i="68"/>
  <c r="AN46" i="68"/>
  <c r="AP46" i="68" s="1"/>
  <c r="AK46" i="68"/>
  <c r="AF46" i="68"/>
  <c r="AE46" i="68"/>
  <c r="AB46" i="68"/>
  <c r="AA46" i="68"/>
  <c r="X46" i="68"/>
  <c r="Z46" i="68" s="1"/>
  <c r="W46" i="68"/>
  <c r="T46" i="68"/>
  <c r="O46" i="68"/>
  <c r="Q46" i="68" s="1"/>
  <c r="N46" i="68"/>
  <c r="K46" i="68"/>
  <c r="J46" i="68"/>
  <c r="G46" i="68"/>
  <c r="I46" i="68" s="1"/>
  <c r="F46" i="68"/>
  <c r="C46" i="68"/>
  <c r="E46" i="68" s="1"/>
  <c r="B46" i="68"/>
  <c r="AX45" i="68"/>
  <c r="AX47" i="68" s="1"/>
  <c r="AW45" i="68"/>
  <c r="AV45" i="68"/>
  <c r="AT45" i="68"/>
  <c r="AT47" i="68" s="1"/>
  <c r="AS45" i="68"/>
  <c r="AR45" i="68"/>
  <c r="AN45" i="68"/>
  <c r="AP45" i="68" s="1"/>
  <c r="AK45" i="68"/>
  <c r="AF45" i="68"/>
  <c r="AE45" i="68"/>
  <c r="AB45" i="68"/>
  <c r="AA45" i="68"/>
  <c r="X45" i="68"/>
  <c r="W45" i="68"/>
  <c r="T45" i="68"/>
  <c r="O45" i="68"/>
  <c r="N45" i="68"/>
  <c r="K45" i="68"/>
  <c r="J45" i="68"/>
  <c r="G45" i="68"/>
  <c r="F45" i="68"/>
  <c r="C45" i="68"/>
  <c r="B45" i="68"/>
  <c r="AW43" i="68"/>
  <c r="AY43" i="68" s="1"/>
  <c r="AV43" i="68"/>
  <c r="AT43" i="68"/>
  <c r="AS43" i="68"/>
  <c r="AR43" i="68"/>
  <c r="AN43" i="68"/>
  <c r="AP43" i="68" s="1"/>
  <c r="AK43" i="68"/>
  <c r="AF43" i="68"/>
  <c r="AE43" i="68"/>
  <c r="AB43" i="68"/>
  <c r="AA43" i="68"/>
  <c r="X43" i="68"/>
  <c r="W43" i="68"/>
  <c r="T43" i="68"/>
  <c r="O43" i="68"/>
  <c r="N43" i="68"/>
  <c r="K43" i="68"/>
  <c r="J43" i="68"/>
  <c r="G43" i="68"/>
  <c r="I43" i="68" s="1"/>
  <c r="F43" i="68"/>
  <c r="C43" i="68"/>
  <c r="E43" i="68" s="1"/>
  <c r="B43" i="68"/>
  <c r="AW41" i="68"/>
  <c r="AY41" i="68" s="1"/>
  <c r="AV41" i="68"/>
  <c r="AT41" i="68"/>
  <c r="AS41" i="68"/>
  <c r="AR41" i="68"/>
  <c r="AN41" i="68"/>
  <c r="AP41" i="68" s="1"/>
  <c r="AK41" i="68"/>
  <c r="AF41" i="68"/>
  <c r="AE41" i="68"/>
  <c r="AB41" i="68"/>
  <c r="AD41" i="68" s="1"/>
  <c r="AA41" i="68"/>
  <c r="X41" i="68"/>
  <c r="Z41" i="68" s="1"/>
  <c r="W41" i="68"/>
  <c r="T41" i="68"/>
  <c r="O41" i="68"/>
  <c r="N41" i="68"/>
  <c r="K41" i="68"/>
  <c r="J41" i="68"/>
  <c r="G41" i="68"/>
  <c r="I41" i="68" s="1"/>
  <c r="F41" i="68"/>
  <c r="C41" i="68"/>
  <c r="B41" i="68"/>
  <c r="BB39" i="68"/>
  <c r="AW39" i="68"/>
  <c r="AY39" i="68" s="1"/>
  <c r="AV39" i="68"/>
  <c r="AT39" i="68"/>
  <c r="AS39" i="68"/>
  <c r="AR39" i="68"/>
  <c r="AN39" i="68"/>
  <c r="AP39" i="68" s="1"/>
  <c r="AK39" i="68"/>
  <c r="AF39" i="68"/>
  <c r="AE39" i="68"/>
  <c r="AB39" i="68"/>
  <c r="AA39" i="68"/>
  <c r="X39" i="68"/>
  <c r="W39" i="68"/>
  <c r="T39" i="68"/>
  <c r="O39" i="68"/>
  <c r="N39" i="68"/>
  <c r="K39" i="68"/>
  <c r="M39" i="68" s="1"/>
  <c r="J39" i="68"/>
  <c r="G39" i="68"/>
  <c r="I39" i="68" s="1"/>
  <c r="F39" i="68"/>
  <c r="C39" i="68"/>
  <c r="E39" i="68" s="1"/>
  <c r="B39" i="68"/>
  <c r="AX37" i="68"/>
  <c r="AO37" i="68"/>
  <c r="AO48" i="68" s="1"/>
  <c r="AM37" i="68"/>
  <c r="AM48" i="68" s="1"/>
  <c r="AG37" i="68"/>
  <c r="AG48" i="68" s="1"/>
  <c r="AC37" i="68"/>
  <c r="Y37" i="68"/>
  <c r="Y48" i="68" s="1"/>
  <c r="P37" i="68"/>
  <c r="P48" i="68" s="1"/>
  <c r="L37" i="68"/>
  <c r="H37" i="68"/>
  <c r="D37" i="68"/>
  <c r="AW36" i="68"/>
  <c r="AY36" i="68" s="1"/>
  <c r="AV36" i="68"/>
  <c r="AT36" i="68"/>
  <c r="BB36" i="68" s="1"/>
  <c r="AS36" i="68"/>
  <c r="AR36" i="68"/>
  <c r="AN36" i="68"/>
  <c r="AP36" i="68" s="1"/>
  <c r="AK36" i="68"/>
  <c r="AF36" i="68"/>
  <c r="AE36" i="68"/>
  <c r="AB36" i="68"/>
  <c r="AD36" i="68" s="1"/>
  <c r="AA36" i="68"/>
  <c r="X36" i="68"/>
  <c r="W36" i="68"/>
  <c r="T36" i="68"/>
  <c r="O36" i="68"/>
  <c r="N36" i="68"/>
  <c r="K36" i="68"/>
  <c r="M36" i="68" s="1"/>
  <c r="J36" i="68"/>
  <c r="G36" i="68"/>
  <c r="I36" i="68" s="1"/>
  <c r="F36" i="68"/>
  <c r="C36" i="68"/>
  <c r="E36" i="68" s="1"/>
  <c r="B36" i="68"/>
  <c r="AW35" i="68"/>
  <c r="AY35" i="68" s="1"/>
  <c r="AV35" i="68"/>
  <c r="AT35" i="68"/>
  <c r="BB35" i="68" s="1"/>
  <c r="AS35" i="68"/>
  <c r="AR35" i="68"/>
  <c r="AN35" i="68"/>
  <c r="AP35" i="68" s="1"/>
  <c r="AK35" i="68"/>
  <c r="AF35" i="68"/>
  <c r="AE35" i="68"/>
  <c r="AB35" i="68"/>
  <c r="AA35" i="68"/>
  <c r="X35" i="68"/>
  <c r="W35" i="68"/>
  <c r="T35" i="68"/>
  <c r="O35" i="68"/>
  <c r="N35" i="68"/>
  <c r="K35" i="68"/>
  <c r="J35" i="68"/>
  <c r="G35" i="68"/>
  <c r="I35" i="68" s="1"/>
  <c r="F35" i="68"/>
  <c r="C35" i="68"/>
  <c r="B35" i="68"/>
  <c r="AW34" i="68"/>
  <c r="AY34" i="68" s="1"/>
  <c r="AV34" i="68"/>
  <c r="AT34" i="68"/>
  <c r="AS34" i="68"/>
  <c r="AR34" i="68"/>
  <c r="AN34" i="68"/>
  <c r="AP34" i="68" s="1"/>
  <c r="AK34" i="68"/>
  <c r="AF34" i="68"/>
  <c r="AE34" i="68"/>
  <c r="AB34" i="68"/>
  <c r="AD34" i="68" s="1"/>
  <c r="AA34" i="68"/>
  <c r="X34" i="68"/>
  <c r="Z34" i="68" s="1"/>
  <c r="W34" i="68"/>
  <c r="T34" i="68"/>
  <c r="O34" i="68"/>
  <c r="N34" i="68"/>
  <c r="K34" i="68"/>
  <c r="M34" i="68" s="1"/>
  <c r="J34" i="68"/>
  <c r="G34" i="68"/>
  <c r="I34" i="68" s="1"/>
  <c r="F34" i="68"/>
  <c r="C34" i="68"/>
  <c r="E34" i="68" s="1"/>
  <c r="B34" i="68"/>
  <c r="BB33" i="68"/>
  <c r="AW33" i="68"/>
  <c r="AV33" i="68"/>
  <c r="AT33" i="68"/>
  <c r="AS33" i="68"/>
  <c r="AU33" i="68" s="1"/>
  <c r="AR33" i="68"/>
  <c r="AN33" i="68"/>
  <c r="AP33" i="68" s="1"/>
  <c r="AK33" i="68"/>
  <c r="AF33" i="68"/>
  <c r="AE33" i="68"/>
  <c r="AB33" i="68"/>
  <c r="AA33" i="68"/>
  <c r="X33" i="68"/>
  <c r="W33" i="68"/>
  <c r="T33" i="68"/>
  <c r="O33" i="68"/>
  <c r="N33" i="68"/>
  <c r="K33" i="68"/>
  <c r="J33" i="68"/>
  <c r="G33" i="68"/>
  <c r="I33" i="68" s="1"/>
  <c r="F33" i="68"/>
  <c r="C33" i="68"/>
  <c r="B33" i="68"/>
  <c r="AW29" i="68"/>
  <c r="AV29" i="68"/>
  <c r="AT29" i="68"/>
  <c r="AS29" i="68"/>
  <c r="AR29" i="68"/>
  <c r="AN29" i="68"/>
  <c r="AP29" i="68" s="1"/>
  <c r="AK29" i="68"/>
  <c r="AF29" i="68"/>
  <c r="AE29" i="68"/>
  <c r="AB29" i="68"/>
  <c r="AA29" i="68"/>
  <c r="X29" i="68"/>
  <c r="Z29" i="68" s="1"/>
  <c r="W29" i="68"/>
  <c r="O29" i="68"/>
  <c r="N29" i="68"/>
  <c r="K29" i="68"/>
  <c r="J29" i="68"/>
  <c r="H29" i="68"/>
  <c r="T29" i="68" s="1"/>
  <c r="G29" i="68"/>
  <c r="F29" i="68"/>
  <c r="C29" i="68"/>
  <c r="E29" i="68" s="1"/>
  <c r="B29" i="68"/>
  <c r="AX28" i="68"/>
  <c r="AX30" i="68" s="1"/>
  <c r="AO28" i="68"/>
  <c r="AO30" i="68" s="1"/>
  <c r="AM28" i="68"/>
  <c r="AM30" i="68" s="1"/>
  <c r="AM49" i="68" s="1"/>
  <c r="AG28" i="68"/>
  <c r="AG30" i="68" s="1"/>
  <c r="AC28" i="68"/>
  <c r="AC30" i="68" s="1"/>
  <c r="Y28" i="68"/>
  <c r="Y30" i="68" s="1"/>
  <c r="P28" i="68"/>
  <c r="P30" i="68" s="1"/>
  <c r="P49" i="68" s="1"/>
  <c r="L28" i="68"/>
  <c r="L30" i="68" s="1"/>
  <c r="AW27" i="68"/>
  <c r="AY27" i="68" s="1"/>
  <c r="AV27" i="68"/>
  <c r="AT27" i="68"/>
  <c r="BB27" i="68" s="1"/>
  <c r="AS27" i="68"/>
  <c r="AR27" i="68"/>
  <c r="AN27" i="68"/>
  <c r="AP27" i="68" s="1"/>
  <c r="AK27" i="68"/>
  <c r="AF27" i="68"/>
  <c r="AE27" i="68"/>
  <c r="AB27" i="68"/>
  <c r="AA27" i="68"/>
  <c r="X27" i="68"/>
  <c r="W27" i="68"/>
  <c r="T27" i="68"/>
  <c r="O27" i="68"/>
  <c r="N27" i="68"/>
  <c r="K27" i="68"/>
  <c r="J27" i="68"/>
  <c r="G27" i="68"/>
  <c r="F27" i="68"/>
  <c r="C27" i="68"/>
  <c r="E27" i="68" s="1"/>
  <c r="B27" i="68"/>
  <c r="AW26" i="68"/>
  <c r="AY26" i="68" s="1"/>
  <c r="AV26" i="68"/>
  <c r="AT26" i="68"/>
  <c r="BB26" i="68" s="1"/>
  <c r="AS26" i="68"/>
  <c r="AR26" i="68"/>
  <c r="AN26" i="68"/>
  <c r="AP26" i="68" s="1"/>
  <c r="AK26" i="68"/>
  <c r="AF26" i="68"/>
  <c r="AE26" i="68"/>
  <c r="AB26" i="68"/>
  <c r="AA26" i="68"/>
  <c r="X26" i="68"/>
  <c r="W26" i="68"/>
  <c r="T26" i="68"/>
  <c r="O26" i="68"/>
  <c r="N26" i="68"/>
  <c r="K26" i="68"/>
  <c r="J26" i="68"/>
  <c r="G26" i="68"/>
  <c r="F26" i="68"/>
  <c r="C26" i="68"/>
  <c r="B26" i="68"/>
  <c r="AW25" i="68"/>
  <c r="AY25" i="68" s="1"/>
  <c r="AV25" i="68"/>
  <c r="AT25" i="68"/>
  <c r="BB25" i="68" s="1"/>
  <c r="AS25" i="68"/>
  <c r="AR25" i="68"/>
  <c r="AN25" i="68"/>
  <c r="AP25" i="68" s="1"/>
  <c r="AK25" i="68"/>
  <c r="AF25" i="68"/>
  <c r="AE25" i="68"/>
  <c r="AB25" i="68"/>
  <c r="AA25" i="68"/>
  <c r="X25" i="68"/>
  <c r="W25" i="68"/>
  <c r="T25" i="68"/>
  <c r="O25" i="68"/>
  <c r="N25" i="68"/>
  <c r="K25" i="68"/>
  <c r="J25" i="68"/>
  <c r="G25" i="68"/>
  <c r="F25" i="68"/>
  <c r="C25" i="68"/>
  <c r="B25" i="68"/>
  <c r="AW24" i="68"/>
  <c r="AY24" i="68" s="1"/>
  <c r="AV24" i="68"/>
  <c r="AT24" i="68"/>
  <c r="BB24" i="68" s="1"/>
  <c r="AS24" i="68"/>
  <c r="AR24" i="68"/>
  <c r="AN24" i="68"/>
  <c r="AP24" i="68" s="1"/>
  <c r="AK24" i="68"/>
  <c r="AF24" i="68"/>
  <c r="AE24" i="68"/>
  <c r="AB24" i="68"/>
  <c r="AA24" i="68"/>
  <c r="X24" i="68"/>
  <c r="W24" i="68"/>
  <c r="T24" i="68"/>
  <c r="O24" i="68"/>
  <c r="N24" i="68"/>
  <c r="K24" i="68"/>
  <c r="J24" i="68"/>
  <c r="G24" i="68"/>
  <c r="F24" i="68"/>
  <c r="C24" i="68"/>
  <c r="B24" i="68"/>
  <c r="AW23" i="68"/>
  <c r="AV23" i="68"/>
  <c r="AT23" i="68"/>
  <c r="AS23" i="68"/>
  <c r="AR23" i="68"/>
  <c r="AN23" i="68"/>
  <c r="AP23" i="68" s="1"/>
  <c r="AK23" i="68"/>
  <c r="AF23" i="68"/>
  <c r="AE23" i="68"/>
  <c r="AB23" i="68"/>
  <c r="AA23" i="68"/>
  <c r="X23" i="68"/>
  <c r="W23" i="68"/>
  <c r="T23" i="68"/>
  <c r="O23" i="68"/>
  <c r="N23" i="68"/>
  <c r="K23" i="68"/>
  <c r="J23" i="68"/>
  <c r="G23" i="68"/>
  <c r="I23" i="68" s="1"/>
  <c r="F23" i="68"/>
  <c r="C23" i="68"/>
  <c r="E23" i="68" s="1"/>
  <c r="B23" i="68"/>
  <c r="AW22" i="68"/>
  <c r="AY22" i="68" s="1"/>
  <c r="AV22" i="68"/>
  <c r="AT22" i="68"/>
  <c r="BB22" i="68" s="1"/>
  <c r="AS22" i="68"/>
  <c r="AR22" i="68"/>
  <c r="AN22" i="68"/>
  <c r="AP22" i="68" s="1"/>
  <c r="AK22" i="68"/>
  <c r="AF22" i="68"/>
  <c r="AE22" i="68"/>
  <c r="AB22" i="68"/>
  <c r="AA22" i="68"/>
  <c r="X22" i="68"/>
  <c r="W22" i="68"/>
  <c r="T22" i="68"/>
  <c r="O22" i="68"/>
  <c r="N22" i="68"/>
  <c r="K22" i="68"/>
  <c r="J22" i="68"/>
  <c r="G22" i="68"/>
  <c r="I22" i="68" s="1"/>
  <c r="F22" i="68"/>
  <c r="C22" i="68"/>
  <c r="E22" i="68" s="1"/>
  <c r="B22" i="68"/>
  <c r="AW21" i="68"/>
  <c r="AY21" i="68" s="1"/>
  <c r="AV21" i="68"/>
  <c r="AT21" i="68"/>
  <c r="AS21" i="68"/>
  <c r="AR21" i="68"/>
  <c r="AN21" i="68"/>
  <c r="AP21" i="68" s="1"/>
  <c r="AK21" i="68"/>
  <c r="AF21" i="68"/>
  <c r="AE21" i="68"/>
  <c r="AB21" i="68"/>
  <c r="AA21" i="68"/>
  <c r="X21" i="68"/>
  <c r="W21" i="68"/>
  <c r="O21" i="68"/>
  <c r="N21" i="68"/>
  <c r="K21" i="68"/>
  <c r="J21" i="68"/>
  <c r="G21" i="68"/>
  <c r="F21" i="68"/>
  <c r="D21" i="68"/>
  <c r="T21" i="68" s="1"/>
  <c r="C21" i="68"/>
  <c r="B21" i="68"/>
  <c r="AW20" i="68"/>
  <c r="AY20" i="68" s="1"/>
  <c r="AV20" i="68"/>
  <c r="AT20" i="68"/>
  <c r="BB20" i="68" s="1"/>
  <c r="AS20" i="68"/>
  <c r="AR20" i="68"/>
  <c r="AN20" i="68"/>
  <c r="AP20" i="68" s="1"/>
  <c r="AK20" i="68"/>
  <c r="AF20" i="68"/>
  <c r="AE20" i="68"/>
  <c r="AB20" i="68"/>
  <c r="AA20" i="68"/>
  <c r="X20" i="68"/>
  <c r="W20" i="68"/>
  <c r="T20" i="68"/>
  <c r="O20" i="68"/>
  <c r="N20" i="68"/>
  <c r="K20" i="68"/>
  <c r="J20" i="68"/>
  <c r="G20" i="68"/>
  <c r="F20" i="68"/>
  <c r="C20" i="68"/>
  <c r="E20" i="68" s="1"/>
  <c r="B20" i="68"/>
  <c r="AW19" i="68"/>
  <c r="AY19" i="68" s="1"/>
  <c r="AV19" i="68"/>
  <c r="AT19" i="68"/>
  <c r="BB19" i="68" s="1"/>
  <c r="AS19" i="68"/>
  <c r="AR19" i="68"/>
  <c r="AN19" i="68"/>
  <c r="AP19" i="68" s="1"/>
  <c r="AK19" i="68"/>
  <c r="AF19" i="68"/>
  <c r="AE19" i="68"/>
  <c r="AB19" i="68"/>
  <c r="AA19" i="68"/>
  <c r="X19" i="68"/>
  <c r="W19" i="68"/>
  <c r="T19" i="68"/>
  <c r="O19" i="68"/>
  <c r="N19" i="68"/>
  <c r="K19" i="68"/>
  <c r="J19" i="68"/>
  <c r="G19" i="68"/>
  <c r="I19" i="68" s="1"/>
  <c r="F19" i="68"/>
  <c r="C19" i="68"/>
  <c r="E19" i="68" s="1"/>
  <c r="B19" i="68"/>
  <c r="AW18" i="68"/>
  <c r="AY18" i="68" s="1"/>
  <c r="AV18" i="68"/>
  <c r="AT18" i="68"/>
  <c r="BB18" i="68" s="1"/>
  <c r="AS18" i="68"/>
  <c r="AR18" i="68"/>
  <c r="AN18" i="68"/>
  <c r="AP18" i="68" s="1"/>
  <c r="AK18" i="68"/>
  <c r="AF18" i="68"/>
  <c r="AE18" i="68"/>
  <c r="AB18" i="68"/>
  <c r="AA18" i="68"/>
  <c r="X18" i="68"/>
  <c r="W18" i="68"/>
  <c r="T18" i="68"/>
  <c r="O18" i="68"/>
  <c r="N18" i="68"/>
  <c r="K18" i="68"/>
  <c r="J18" i="68"/>
  <c r="G18" i="68"/>
  <c r="I18" i="68" s="1"/>
  <c r="F18" i="68"/>
  <c r="C18" i="68"/>
  <c r="E18" i="68" s="1"/>
  <c r="B18" i="68"/>
  <c r="AW17" i="68"/>
  <c r="AY17" i="68" s="1"/>
  <c r="AV17" i="68"/>
  <c r="AT17" i="68"/>
  <c r="BB17" i="68" s="1"/>
  <c r="AS17" i="68"/>
  <c r="AR17" i="68"/>
  <c r="AN17" i="68"/>
  <c r="AP17" i="68" s="1"/>
  <c r="AK17" i="68"/>
  <c r="AF17" i="68"/>
  <c r="AE17" i="68"/>
  <c r="AB17" i="68"/>
  <c r="AA17" i="68"/>
  <c r="X17" i="68"/>
  <c r="W17" i="68"/>
  <c r="T17" i="68"/>
  <c r="O17" i="68"/>
  <c r="N17" i="68"/>
  <c r="K17" i="68"/>
  <c r="J17" i="68"/>
  <c r="G17" i="68"/>
  <c r="F17" i="68"/>
  <c r="C17" i="68"/>
  <c r="B17" i="68"/>
  <c r="BB16" i="68"/>
  <c r="AW16" i="68"/>
  <c r="AY16" i="68" s="1"/>
  <c r="AV16" i="68"/>
  <c r="AT16" i="68"/>
  <c r="AS16" i="68"/>
  <c r="AR16" i="68"/>
  <c r="AN16" i="68"/>
  <c r="AP16" i="68" s="1"/>
  <c r="AK16" i="68"/>
  <c r="AF16" i="68"/>
  <c r="AE16" i="68"/>
  <c r="AB16" i="68"/>
  <c r="AA16" i="68"/>
  <c r="X16" i="68"/>
  <c r="W16" i="68"/>
  <c r="T16" i="68"/>
  <c r="O16" i="68"/>
  <c r="N16" i="68"/>
  <c r="K16" i="68"/>
  <c r="J16" i="68"/>
  <c r="G16" i="68"/>
  <c r="F16" i="68"/>
  <c r="C16" i="68"/>
  <c r="B16" i="68"/>
  <c r="AW15" i="68"/>
  <c r="AY15" i="68" s="1"/>
  <c r="AV15" i="68"/>
  <c r="AT15" i="68"/>
  <c r="BB15" i="68" s="1"/>
  <c r="AS15" i="68"/>
  <c r="AR15" i="68"/>
  <c r="AN15" i="68"/>
  <c r="AP15" i="68" s="1"/>
  <c r="AK15" i="68"/>
  <c r="AF15" i="68"/>
  <c r="AE15" i="68"/>
  <c r="AB15" i="68"/>
  <c r="AA15" i="68"/>
  <c r="X15" i="68"/>
  <c r="W15" i="68"/>
  <c r="T15" i="68"/>
  <c r="O15" i="68"/>
  <c r="N15" i="68"/>
  <c r="K15" i="68"/>
  <c r="M15" i="68" s="1"/>
  <c r="J15" i="68"/>
  <c r="G15" i="68"/>
  <c r="F15" i="68"/>
  <c r="C15" i="68"/>
  <c r="E15" i="68" s="1"/>
  <c r="B15" i="68"/>
  <c r="AW14" i="68"/>
  <c r="AY14" i="68" s="1"/>
  <c r="AV14" i="68"/>
  <c r="AT14" i="68"/>
  <c r="BB14" i="68" s="1"/>
  <c r="AS14" i="68"/>
  <c r="AR14" i="68"/>
  <c r="AN14" i="68"/>
  <c r="AP14" i="68" s="1"/>
  <c r="AK14" i="68"/>
  <c r="AF14" i="68"/>
  <c r="AE14" i="68"/>
  <c r="AB14" i="68"/>
  <c r="AA14" i="68"/>
  <c r="X14" i="68"/>
  <c r="W14" i="68"/>
  <c r="T14" i="68"/>
  <c r="O14" i="68"/>
  <c r="N14" i="68"/>
  <c r="K14" i="68"/>
  <c r="J14" i="68"/>
  <c r="G14" i="68"/>
  <c r="I14" i="68" s="1"/>
  <c r="F14" i="68"/>
  <c r="C14" i="68"/>
  <c r="E14" i="68" s="1"/>
  <c r="B14" i="68"/>
  <c r="BB13" i="68"/>
  <c r="AW13" i="68"/>
  <c r="AV13" i="68"/>
  <c r="AS13" i="68"/>
  <c r="AR13" i="68"/>
  <c r="AN13" i="68"/>
  <c r="AP13" i="68" s="1"/>
  <c r="AK13" i="68"/>
  <c r="AF13" i="68"/>
  <c r="AE13" i="68"/>
  <c r="AB13" i="68"/>
  <c r="AA13" i="68"/>
  <c r="X13" i="68"/>
  <c r="W13" i="68"/>
  <c r="T13" i="68"/>
  <c r="O13" i="68"/>
  <c r="N13" i="68"/>
  <c r="K13" i="68"/>
  <c r="J13" i="68"/>
  <c r="G13" i="68"/>
  <c r="I13" i="68" s="1"/>
  <c r="F13" i="68"/>
  <c r="C13" i="68"/>
  <c r="E13" i="68" s="1"/>
  <c r="B13" i="68"/>
  <c r="BB12" i="68"/>
  <c r="AW12" i="68"/>
  <c r="AY12" i="68" s="1"/>
  <c r="AV12" i="68"/>
  <c r="AT12" i="68"/>
  <c r="AS12" i="68"/>
  <c r="AR12" i="68"/>
  <c r="AN12" i="68"/>
  <c r="AP12" i="68" s="1"/>
  <c r="AK12" i="68"/>
  <c r="AF12" i="68"/>
  <c r="AE12" i="68"/>
  <c r="AB12" i="68"/>
  <c r="AA12" i="68"/>
  <c r="X12" i="68"/>
  <c r="W12" i="68"/>
  <c r="O12" i="68"/>
  <c r="N12" i="68"/>
  <c r="K12" i="68"/>
  <c r="J12" i="68"/>
  <c r="H12" i="68"/>
  <c r="G12" i="68"/>
  <c r="F12" i="68"/>
  <c r="C12" i="68"/>
  <c r="B12" i="68"/>
  <c r="AW11" i="68"/>
  <c r="AY11" i="68" s="1"/>
  <c r="AV11" i="68"/>
  <c r="AT11" i="68"/>
  <c r="BB11" i="68" s="1"/>
  <c r="AS11" i="68"/>
  <c r="AR11" i="68"/>
  <c r="AN11" i="68"/>
  <c r="AP11" i="68" s="1"/>
  <c r="AK11" i="68"/>
  <c r="AF11" i="68"/>
  <c r="AE11" i="68"/>
  <c r="AB11" i="68"/>
  <c r="AA11" i="68"/>
  <c r="X11" i="68"/>
  <c r="W11" i="68"/>
  <c r="T11" i="68"/>
  <c r="O11" i="68"/>
  <c r="N11" i="68"/>
  <c r="K11" i="68"/>
  <c r="J11" i="68"/>
  <c r="G11" i="68"/>
  <c r="F11" i="68"/>
  <c r="C11" i="68"/>
  <c r="E11" i="68" s="1"/>
  <c r="B11" i="68"/>
  <c r="AW10" i="68"/>
  <c r="AV10" i="68"/>
  <c r="AT10" i="68"/>
  <c r="BB10" i="68" s="1"/>
  <c r="AS10" i="68"/>
  <c r="AR10" i="68"/>
  <c r="AN10" i="68"/>
  <c r="AP10" i="68" s="1"/>
  <c r="AK10" i="68"/>
  <c r="AF10" i="68"/>
  <c r="AE10" i="68"/>
  <c r="AB10" i="68"/>
  <c r="AA10" i="68"/>
  <c r="X10" i="68"/>
  <c r="W10" i="68"/>
  <c r="O10" i="68"/>
  <c r="N10" i="68"/>
  <c r="K10" i="68"/>
  <c r="J10" i="68"/>
  <c r="G10" i="68"/>
  <c r="F10" i="68"/>
  <c r="D10" i="68"/>
  <c r="D28" i="68" s="1"/>
  <c r="C10" i="68"/>
  <c r="B10" i="68"/>
  <c r="AU17" i="69" l="1"/>
  <c r="AU27" i="69"/>
  <c r="AU33" i="69"/>
  <c r="L48" i="69"/>
  <c r="AU13" i="69"/>
  <c r="AU15" i="69"/>
  <c r="AU46" i="69"/>
  <c r="AU21" i="69"/>
  <c r="AU23" i="69"/>
  <c r="AL48" i="69"/>
  <c r="AL49" i="69" s="1"/>
  <c r="Y47" i="69"/>
  <c r="Q48" i="69"/>
  <c r="Q49" i="69" s="1"/>
  <c r="Y37" i="69"/>
  <c r="AC48" i="68"/>
  <c r="AC49" i="68" s="1"/>
  <c r="Y49" i="68"/>
  <c r="AY45" i="68"/>
  <c r="AO49" i="68"/>
  <c r="T10" i="68"/>
  <c r="BF11" i="68"/>
  <c r="BF14" i="68"/>
  <c r="BF19" i="68"/>
  <c r="BF20" i="68"/>
  <c r="I29" i="68"/>
  <c r="AU35" i="68"/>
  <c r="AU36" i="68"/>
  <c r="AU45" i="68"/>
  <c r="AG49" i="68"/>
  <c r="BF17" i="68"/>
  <c r="AU20" i="68"/>
  <c r="BF27" i="68"/>
  <c r="AK37" i="68"/>
  <c r="BF35" i="68"/>
  <c r="T47" i="68"/>
  <c r="AZ17" i="68"/>
  <c r="BA33" i="68"/>
  <c r="BC33" i="68" s="1"/>
  <c r="AO25" i="69"/>
  <c r="K47" i="69"/>
  <c r="M47" i="69" s="1"/>
  <c r="AI19" i="68"/>
  <c r="AZ26" i="68"/>
  <c r="BA27" i="68"/>
  <c r="BC27" i="68" s="1"/>
  <c r="AZ34" i="68"/>
  <c r="AA28" i="68"/>
  <c r="AA30" i="68" s="1"/>
  <c r="AZ24" i="68"/>
  <c r="R19" i="68"/>
  <c r="AZ22" i="68"/>
  <c r="AU27" i="68"/>
  <c r="AZ29" i="68"/>
  <c r="O37" i="68"/>
  <c r="AE47" i="68"/>
  <c r="AR47" i="68"/>
  <c r="BA17" i="68"/>
  <c r="BC17" i="68" s="1"/>
  <c r="BA18" i="68"/>
  <c r="BC18" i="68" s="1"/>
  <c r="AZ20" i="68"/>
  <c r="AZ23" i="68"/>
  <c r="AZ35" i="68"/>
  <c r="AV47" i="68"/>
  <c r="BA35" i="68"/>
  <c r="BC35" i="68" s="1"/>
  <c r="AI39" i="68"/>
  <c r="S41" i="68"/>
  <c r="AO18" i="69"/>
  <c r="B47" i="69"/>
  <c r="S47" i="69"/>
  <c r="BA22" i="68"/>
  <c r="BA25" i="68"/>
  <c r="BC25" i="68" s="1"/>
  <c r="N47" i="68"/>
  <c r="AJ33" i="68"/>
  <c r="AI34" i="68"/>
  <c r="AJ35" i="68"/>
  <c r="AI46" i="68"/>
  <c r="P47" i="69"/>
  <c r="AZ14" i="68"/>
  <c r="AI17" i="68"/>
  <c r="BA29" i="68"/>
  <c r="AZ46" i="68"/>
  <c r="AO43" i="69"/>
  <c r="AZ15" i="68"/>
  <c r="S23" i="68"/>
  <c r="U23" i="68" s="1"/>
  <c r="S15" i="68"/>
  <c r="AJ17" i="68"/>
  <c r="R24" i="68"/>
  <c r="AZ36" i="68"/>
  <c r="AJ45" i="68"/>
  <c r="BA46" i="68"/>
  <c r="BC46" i="68" s="1"/>
  <c r="F47" i="69"/>
  <c r="BA23" i="68"/>
  <c r="AZ25" i="68"/>
  <c r="K37" i="68"/>
  <c r="M37" i="68" s="1"/>
  <c r="AE37" i="68"/>
  <c r="AV37" i="68"/>
  <c r="R39" i="68"/>
  <c r="AI43" i="68"/>
  <c r="G47" i="68"/>
  <c r="I47" i="68" s="1"/>
  <c r="AA47" i="68"/>
  <c r="AO10" i="69"/>
  <c r="AP36" i="69"/>
  <c r="AR36" i="69" s="1"/>
  <c r="AP39" i="69"/>
  <c r="AR39" i="69" s="1"/>
  <c r="BA10" i="68"/>
  <c r="BC10" i="68" s="1"/>
  <c r="BA11" i="68"/>
  <c r="BC11" i="68" s="1"/>
  <c r="BA24" i="68"/>
  <c r="BC24" i="68" s="1"/>
  <c r="BA43" i="68"/>
  <c r="AI11" i="68"/>
  <c r="AO23" i="69"/>
  <c r="R17" i="68"/>
  <c r="B37" i="68"/>
  <c r="BA41" i="68"/>
  <c r="M45" i="69"/>
  <c r="AP16" i="69"/>
  <c r="AR16" i="69" s="1"/>
  <c r="O28" i="68"/>
  <c r="O30" i="68" s="1"/>
  <c r="S12" i="68"/>
  <c r="R26" i="68"/>
  <c r="N37" i="68"/>
  <c r="AJ39" i="68"/>
  <c r="J47" i="68"/>
  <c r="AN47" i="68"/>
  <c r="AP47" i="68" s="1"/>
  <c r="AO11" i="69"/>
  <c r="AP13" i="69"/>
  <c r="W20" i="69"/>
  <c r="W22" i="69"/>
  <c r="F37" i="69"/>
  <c r="AZ12" i="68"/>
  <c r="S16" i="68"/>
  <c r="U16" i="68" s="1"/>
  <c r="AI16" i="68"/>
  <c r="R20" i="68"/>
  <c r="S25" i="68"/>
  <c r="U25" i="68" s="1"/>
  <c r="R27" i="68"/>
  <c r="AI29" i="68"/>
  <c r="R34" i="68"/>
  <c r="AG28" i="69"/>
  <c r="AG30" i="69" s="1"/>
  <c r="F28" i="69"/>
  <c r="F30" i="69" s="1"/>
  <c r="X41" i="69"/>
  <c r="Z41" i="69" s="1"/>
  <c r="BA12" i="68"/>
  <c r="BC12" i="68" s="1"/>
  <c r="AI14" i="68"/>
  <c r="AJ16" i="68"/>
  <c r="AJ18" i="68"/>
  <c r="R23" i="68"/>
  <c r="AI23" i="68"/>
  <c r="E25" i="68"/>
  <c r="AJ46" i="68"/>
  <c r="AS47" i="68"/>
  <c r="AU47" i="68" s="1"/>
  <c r="AO17" i="69"/>
  <c r="AP19" i="69"/>
  <c r="J37" i="69"/>
  <c r="AC37" i="69"/>
  <c r="AE37" i="69" s="1"/>
  <c r="T47" i="69"/>
  <c r="V47" i="69" s="1"/>
  <c r="AV28" i="68"/>
  <c r="AV30" i="68" s="1"/>
  <c r="AI13" i="68"/>
  <c r="AJ15" i="68"/>
  <c r="BA15" i="68"/>
  <c r="BC15" i="68" s="1"/>
  <c r="BA19" i="68"/>
  <c r="BC19" i="68" s="1"/>
  <c r="AI22" i="68"/>
  <c r="BC22" i="68"/>
  <c r="AJ23" i="68"/>
  <c r="AJ24" i="68"/>
  <c r="F37" i="68"/>
  <c r="AU46" i="68"/>
  <c r="W16" i="69"/>
  <c r="W23" i="69"/>
  <c r="AF37" i="69"/>
  <c r="G47" i="69"/>
  <c r="I47" i="69" s="1"/>
  <c r="G28" i="68"/>
  <c r="G30" i="68" s="1"/>
  <c r="AU12" i="68"/>
  <c r="AJ13" i="68"/>
  <c r="AZ13" i="68"/>
  <c r="R16" i="68"/>
  <c r="AZ18" i="68"/>
  <c r="S20" i="68"/>
  <c r="U20" i="68" s="1"/>
  <c r="AI20" i="68"/>
  <c r="AJ21" i="68"/>
  <c r="BA21" i="68"/>
  <c r="AU23" i="68"/>
  <c r="AI25" i="68"/>
  <c r="AJ26" i="68"/>
  <c r="AZ27" i="68"/>
  <c r="AR37" i="68"/>
  <c r="W21" i="69"/>
  <c r="W43" i="69"/>
  <c r="J47" i="69"/>
  <c r="N28" i="68"/>
  <c r="N30" i="68" s="1"/>
  <c r="R14" i="68"/>
  <c r="AJ20" i="68"/>
  <c r="AJ25" i="68"/>
  <c r="R36" i="68"/>
  <c r="AJ36" i="68"/>
  <c r="BA36" i="68"/>
  <c r="BC36" i="68" s="1"/>
  <c r="X14" i="69"/>
  <c r="Z14" i="69" s="1"/>
  <c r="AO35" i="69"/>
  <c r="W41" i="69"/>
  <c r="AO41" i="69"/>
  <c r="K28" i="68"/>
  <c r="K30" i="68" s="1"/>
  <c r="M30" i="68" s="1"/>
  <c r="AF28" i="68"/>
  <c r="AF30" i="68" s="1"/>
  <c r="AJ11" i="68"/>
  <c r="W28" i="68"/>
  <c r="W30" i="68" s="1"/>
  <c r="AZ10" i="68"/>
  <c r="AU10" i="68"/>
  <c r="S11" i="68"/>
  <c r="AZ11" i="68"/>
  <c r="I12" i="68"/>
  <c r="AJ12" i="68"/>
  <c r="R13" i="68"/>
  <c r="BA14" i="68"/>
  <c r="BC14" i="68" s="1"/>
  <c r="BA16" i="68"/>
  <c r="BC16" i="68" s="1"/>
  <c r="AI18" i="68"/>
  <c r="AB28" i="68"/>
  <c r="AB30" i="68" s="1"/>
  <c r="BA20" i="68"/>
  <c r="BC20" i="68" s="1"/>
  <c r="S21" i="68"/>
  <c r="R21" i="68"/>
  <c r="AI21" i="68"/>
  <c r="AZ21" i="68"/>
  <c r="AJ22" i="68"/>
  <c r="AJ27" i="68"/>
  <c r="AY29" i="68"/>
  <c r="AB37" i="68"/>
  <c r="AD37" i="68" s="1"/>
  <c r="BA34" i="68"/>
  <c r="AU41" i="68"/>
  <c r="R43" i="68"/>
  <c r="S43" i="68"/>
  <c r="U43" i="68" s="1"/>
  <c r="B47" i="68"/>
  <c r="AB47" i="68"/>
  <c r="BA45" i="68"/>
  <c r="AP11" i="69"/>
  <c r="AR11" i="69" s="1"/>
  <c r="AO14" i="69"/>
  <c r="AO15" i="69"/>
  <c r="AO16" i="69"/>
  <c r="W17" i="69"/>
  <c r="AS17" i="69" s="1"/>
  <c r="AP18" i="69"/>
  <c r="AR18" i="69" s="1"/>
  <c r="AO20" i="69"/>
  <c r="AO21" i="69"/>
  <c r="AO22" i="69"/>
  <c r="W24" i="69"/>
  <c r="X25" i="69"/>
  <c r="Z25" i="69" s="1"/>
  <c r="AP27" i="69"/>
  <c r="AR27" i="69" s="1"/>
  <c r="K37" i="69"/>
  <c r="M37" i="69" s="1"/>
  <c r="AE33" i="69"/>
  <c r="T37" i="69"/>
  <c r="AP35" i="69"/>
  <c r="AR35" i="69" s="1"/>
  <c r="W36" i="69"/>
  <c r="S37" i="69"/>
  <c r="AP41" i="69"/>
  <c r="AR41" i="69" s="1"/>
  <c r="AP43" i="69"/>
  <c r="AR43" i="69" s="1"/>
  <c r="AJ47" i="69"/>
  <c r="X20" i="69"/>
  <c r="Z20" i="69" s="1"/>
  <c r="AK47" i="69"/>
  <c r="R11" i="68"/>
  <c r="R12" i="68"/>
  <c r="R15" i="68"/>
  <c r="R18" i="68"/>
  <c r="AZ19" i="68"/>
  <c r="AU21" i="68"/>
  <c r="AJ29" i="68"/>
  <c r="G37" i="68"/>
  <c r="AZ39" i="68"/>
  <c r="AJ41" i="68"/>
  <c r="AZ41" i="68"/>
  <c r="AZ43" i="68"/>
  <c r="AF47" i="68"/>
  <c r="AB28" i="69"/>
  <c r="AB30" i="69" s="1"/>
  <c r="AJ28" i="69"/>
  <c r="AJ30" i="69" s="1"/>
  <c r="E14" i="69"/>
  <c r="W26" i="69"/>
  <c r="AP29" i="69"/>
  <c r="AR29" i="69" s="1"/>
  <c r="P37" i="69"/>
  <c r="W34" i="69"/>
  <c r="W35" i="69"/>
  <c r="W39" i="69"/>
  <c r="AE39" i="69"/>
  <c r="X43" i="69"/>
  <c r="Z43" i="69" s="1"/>
  <c r="I45" i="69"/>
  <c r="O47" i="69"/>
  <c r="AG47" i="69"/>
  <c r="AI47" i="69" s="1"/>
  <c r="AP45" i="69"/>
  <c r="AR45" i="69" s="1"/>
  <c r="W46" i="69"/>
  <c r="AO46" i="69"/>
  <c r="S10" i="68"/>
  <c r="U10" i="68" s="1"/>
  <c r="AJ10" i="68"/>
  <c r="AI12" i="68"/>
  <c r="BA13" i="68"/>
  <c r="BC13" i="68" s="1"/>
  <c r="AJ14" i="68"/>
  <c r="AI15" i="68"/>
  <c r="AU17" i="68"/>
  <c r="AI24" i="68"/>
  <c r="AI26" i="68"/>
  <c r="AI27" i="68"/>
  <c r="AA37" i="68"/>
  <c r="R35" i="68"/>
  <c r="AI35" i="68"/>
  <c r="AI36" i="68"/>
  <c r="AJ43" i="68"/>
  <c r="O47" i="68"/>
  <c r="Q47" i="68" s="1"/>
  <c r="R46" i="68"/>
  <c r="J28" i="69"/>
  <c r="J30" i="69" s="1"/>
  <c r="W11" i="69"/>
  <c r="S28" i="69"/>
  <c r="S30" i="69" s="1"/>
  <c r="AP12" i="69"/>
  <c r="AR12" i="69" s="1"/>
  <c r="X13" i="69"/>
  <c r="Z13" i="69" s="1"/>
  <c r="W25" i="69"/>
  <c r="AP25" i="69"/>
  <c r="AR25" i="69" s="1"/>
  <c r="X35" i="69"/>
  <c r="Z35" i="69" s="1"/>
  <c r="X36" i="69"/>
  <c r="C47" i="69"/>
  <c r="E47" i="69" s="1"/>
  <c r="X11" i="69"/>
  <c r="X22" i="69"/>
  <c r="E22" i="69"/>
  <c r="E26" i="69"/>
  <c r="X26" i="69"/>
  <c r="Z26" i="69" s="1"/>
  <c r="L30" i="69"/>
  <c r="AU47" i="69"/>
  <c r="AP10" i="69"/>
  <c r="AR10" i="69" s="1"/>
  <c r="AK28" i="69"/>
  <c r="AK30" i="69" s="1"/>
  <c r="X17" i="69"/>
  <c r="X19" i="69"/>
  <c r="Z19" i="69" s="1"/>
  <c r="AE26" i="69"/>
  <c r="AP26" i="69"/>
  <c r="AR26" i="69" s="1"/>
  <c r="AB37" i="69"/>
  <c r="AO34" i="69"/>
  <c r="AG37" i="69"/>
  <c r="AP34" i="69"/>
  <c r="AR34" i="69" s="1"/>
  <c r="O28" i="69"/>
  <c r="O30" i="69" s="1"/>
  <c r="W10" i="69"/>
  <c r="AC28" i="69"/>
  <c r="AC30" i="69" s="1"/>
  <c r="AE10" i="69"/>
  <c r="W12" i="69"/>
  <c r="Y28" i="69"/>
  <c r="AO12" i="69"/>
  <c r="AF28" i="69"/>
  <c r="AF30" i="69" s="1"/>
  <c r="AO13" i="69"/>
  <c r="W15" i="69"/>
  <c r="X18" i="69"/>
  <c r="W19" i="69"/>
  <c r="AP20" i="69"/>
  <c r="AR20" i="69" s="1"/>
  <c r="AU20" i="69"/>
  <c r="X21" i="69"/>
  <c r="Z21" i="69" s="1"/>
  <c r="AP21" i="69"/>
  <c r="AR21" i="69" s="1"/>
  <c r="X24" i="69"/>
  <c r="E24" i="69"/>
  <c r="AU29" i="69"/>
  <c r="AO33" i="69"/>
  <c r="AI10" i="69"/>
  <c r="X12" i="69"/>
  <c r="AE12" i="69"/>
  <c r="T28" i="69"/>
  <c r="T30" i="69" s="1"/>
  <c r="W14" i="69"/>
  <c r="X16" i="69"/>
  <c r="E16" i="69"/>
  <c r="AP17" i="69"/>
  <c r="AR17" i="69" s="1"/>
  <c r="AE19" i="69"/>
  <c r="AD28" i="69"/>
  <c r="C28" i="69"/>
  <c r="C30" i="69" s="1"/>
  <c r="E30" i="69" s="1"/>
  <c r="P28" i="69"/>
  <c r="P30" i="69" s="1"/>
  <c r="X10" i="69"/>
  <c r="Z10" i="69" s="1"/>
  <c r="AU11" i="69"/>
  <c r="B28" i="69"/>
  <c r="B30" i="69" s="1"/>
  <c r="W13" i="69"/>
  <c r="AP14" i="69"/>
  <c r="AR14" i="69" s="1"/>
  <c r="AU14" i="69"/>
  <c r="X15" i="69"/>
  <c r="Z15" i="69" s="1"/>
  <c r="AP15" i="69"/>
  <c r="AR15" i="69" s="1"/>
  <c r="W18" i="69"/>
  <c r="AU18" i="69"/>
  <c r="AO19" i="69"/>
  <c r="AQ19" i="69"/>
  <c r="AQ28" i="69" s="1"/>
  <c r="X23" i="69"/>
  <c r="E23" i="69"/>
  <c r="AO24" i="69"/>
  <c r="AH48" i="69"/>
  <c r="AU41" i="69"/>
  <c r="AO27" i="69"/>
  <c r="AB47" i="69"/>
  <c r="AO45" i="69"/>
  <c r="K28" i="69"/>
  <c r="K30" i="69" s="1"/>
  <c r="AU10" i="69"/>
  <c r="AU16" i="69"/>
  <c r="AP22" i="69"/>
  <c r="AR22" i="69" s="1"/>
  <c r="AP23" i="69"/>
  <c r="AR23" i="69" s="1"/>
  <c r="AP24" i="69"/>
  <c r="AR24" i="69" s="1"/>
  <c r="E25" i="69"/>
  <c r="AU25" i="69"/>
  <c r="AU26" i="69"/>
  <c r="W27" i="69"/>
  <c r="X27" i="69"/>
  <c r="AO29" i="69"/>
  <c r="M33" i="69"/>
  <c r="X39" i="69"/>
  <c r="E39" i="69"/>
  <c r="AU39" i="69"/>
  <c r="AU43" i="69"/>
  <c r="W45" i="69"/>
  <c r="AC47" i="69"/>
  <c r="AQ37" i="69"/>
  <c r="G28" i="69"/>
  <c r="G30" i="69" s="1"/>
  <c r="I30" i="69" s="1"/>
  <c r="M10" i="69"/>
  <c r="E13" i="69"/>
  <c r="E15" i="69"/>
  <c r="E21" i="69"/>
  <c r="AO26" i="69"/>
  <c r="W29" i="69"/>
  <c r="X29" i="69"/>
  <c r="AH30" i="69"/>
  <c r="W33" i="69"/>
  <c r="G37" i="69"/>
  <c r="I33" i="69"/>
  <c r="O37" i="69"/>
  <c r="AK37" i="69"/>
  <c r="X34" i="69"/>
  <c r="E34" i="69"/>
  <c r="AU34" i="69"/>
  <c r="E35" i="69"/>
  <c r="AU35" i="69"/>
  <c r="B37" i="69"/>
  <c r="H48" i="69"/>
  <c r="E43" i="69"/>
  <c r="E45" i="69"/>
  <c r="X45" i="69"/>
  <c r="AF47" i="69"/>
  <c r="AP46" i="69"/>
  <c r="AR46" i="69" s="1"/>
  <c r="C37" i="69"/>
  <c r="X33" i="69"/>
  <c r="AP33" i="69"/>
  <c r="AJ37" i="69"/>
  <c r="AO36" i="69"/>
  <c r="D48" i="69"/>
  <c r="D49" i="69" s="1"/>
  <c r="U48" i="69"/>
  <c r="AD48" i="69"/>
  <c r="AO39" i="69"/>
  <c r="X46" i="69"/>
  <c r="BF18" i="68"/>
  <c r="BF15" i="68"/>
  <c r="D30" i="68"/>
  <c r="T12" i="68"/>
  <c r="S22" i="68"/>
  <c r="BA26" i="68"/>
  <c r="AU26" i="68"/>
  <c r="H28" i="68"/>
  <c r="I10" i="68"/>
  <c r="AR28" i="68"/>
  <c r="AR30" i="68" s="1"/>
  <c r="AU11" i="68"/>
  <c r="E12" i="68"/>
  <c r="S13" i="68"/>
  <c r="AU13" i="68"/>
  <c r="S14" i="68"/>
  <c r="I15" i="68"/>
  <c r="AU15" i="68"/>
  <c r="AU16" i="68"/>
  <c r="BF16" i="68"/>
  <c r="S17" i="68"/>
  <c r="E17" i="68"/>
  <c r="AU18" i="68"/>
  <c r="S19" i="68"/>
  <c r="BB21" i="68"/>
  <c r="BF22" i="68"/>
  <c r="AU22" i="68"/>
  <c r="AY23" i="68"/>
  <c r="R25" i="68"/>
  <c r="C28" i="68"/>
  <c r="C30" i="68" s="1"/>
  <c r="BB29" i="68"/>
  <c r="BF29" i="68" s="1"/>
  <c r="AU29" i="68"/>
  <c r="AJ19" i="68"/>
  <c r="C37" i="68"/>
  <c r="E37" i="68" s="1"/>
  <c r="S33" i="68"/>
  <c r="E33" i="68"/>
  <c r="E10" i="68"/>
  <c r="J28" i="68"/>
  <c r="J30" i="68" s="1"/>
  <c r="R10" i="68"/>
  <c r="AE28" i="68"/>
  <c r="AE30" i="68" s="1"/>
  <c r="AK28" i="68"/>
  <c r="AS28" i="68"/>
  <c r="AS30" i="68" s="1"/>
  <c r="AW28" i="68"/>
  <c r="BF10" i="68"/>
  <c r="BF13" i="68"/>
  <c r="AU14" i="68"/>
  <c r="S18" i="68"/>
  <c r="S24" i="68"/>
  <c r="E24" i="68"/>
  <c r="AU24" i="68"/>
  <c r="BF24" i="68"/>
  <c r="S27" i="68"/>
  <c r="AZ33" i="68"/>
  <c r="S35" i="68"/>
  <c r="E35" i="68"/>
  <c r="AI10" i="68"/>
  <c r="AT28" i="68"/>
  <c r="B28" i="68"/>
  <c r="B30" i="68" s="1"/>
  <c r="F28" i="68"/>
  <c r="F30" i="68" s="1"/>
  <c r="X28" i="68"/>
  <c r="X30" i="68" s="1"/>
  <c r="AN28" i="68"/>
  <c r="AN30" i="68" s="1"/>
  <c r="AY10" i="68"/>
  <c r="E16" i="68"/>
  <c r="AZ16" i="68"/>
  <c r="AU19" i="68"/>
  <c r="E21" i="68"/>
  <c r="R22" i="68"/>
  <c r="BB23" i="68"/>
  <c r="BF25" i="68"/>
  <c r="AU25" i="68"/>
  <c r="BF26" i="68"/>
  <c r="D48" i="68"/>
  <c r="S26" i="68"/>
  <c r="E26" i="68"/>
  <c r="R29" i="68"/>
  <c r="BF36" i="68"/>
  <c r="H48" i="68"/>
  <c r="AI45" i="68"/>
  <c r="W47" i="68"/>
  <c r="L48" i="68"/>
  <c r="BF39" i="68"/>
  <c r="BA39" i="68"/>
  <c r="BC39" i="68" s="1"/>
  <c r="AU39" i="68"/>
  <c r="F47" i="68"/>
  <c r="S29" i="68"/>
  <c r="AX49" i="68"/>
  <c r="J37" i="68"/>
  <c r="T37" i="68"/>
  <c r="BF33" i="68"/>
  <c r="AI33" i="68"/>
  <c r="BB34" i="68"/>
  <c r="AU34" i="68"/>
  <c r="BB43" i="68"/>
  <c r="AU43" i="68"/>
  <c r="R33" i="68"/>
  <c r="W37" i="68"/>
  <c r="AS37" i="68"/>
  <c r="AW37" i="68"/>
  <c r="AY37" i="68" s="1"/>
  <c r="S34" i="68"/>
  <c r="AJ34" i="68"/>
  <c r="S36" i="68"/>
  <c r="M33" i="68"/>
  <c r="X37" i="68"/>
  <c r="AF37" i="68"/>
  <c r="AN37" i="68"/>
  <c r="AT37" i="68"/>
  <c r="AY33" i="68"/>
  <c r="R41" i="68"/>
  <c r="U41" i="68"/>
  <c r="R45" i="68"/>
  <c r="AK47" i="68"/>
  <c r="AW47" i="68"/>
  <c r="AY47" i="68" s="1"/>
  <c r="AI41" i="68"/>
  <c r="C47" i="68"/>
  <c r="E47" i="68" s="1"/>
  <c r="S45" i="68"/>
  <c r="U45" i="68" s="1"/>
  <c r="E45" i="68"/>
  <c r="K47" i="68"/>
  <c r="S39" i="68"/>
  <c r="BB41" i="68"/>
  <c r="BB45" i="68"/>
  <c r="BF45" i="68" s="1"/>
  <c r="S46" i="68"/>
  <c r="E41" i="68"/>
  <c r="BF46" i="68"/>
  <c r="X47" i="68"/>
  <c r="Z47" i="68" s="1"/>
  <c r="AZ45" i="68"/>
  <c r="AZ47" i="68" s="1"/>
  <c r="AS18" i="69" l="1"/>
  <c r="Y48" i="69"/>
  <c r="AS36" i="69"/>
  <c r="AI28" i="69"/>
  <c r="M28" i="68"/>
  <c r="AS25" i="69"/>
  <c r="AS16" i="69"/>
  <c r="BC23" i="68"/>
  <c r="AI47" i="68"/>
  <c r="AS22" i="69"/>
  <c r="B48" i="69"/>
  <c r="B49" i="69" s="1"/>
  <c r="AA48" i="68"/>
  <c r="AA49" i="68" s="1"/>
  <c r="K48" i="69"/>
  <c r="M48" i="69" s="1"/>
  <c r="AE48" i="68"/>
  <c r="AE49" i="68" s="1"/>
  <c r="N48" i="68"/>
  <c r="N49" i="68" s="1"/>
  <c r="BE23" i="68"/>
  <c r="AZ37" i="68"/>
  <c r="AZ48" i="68" s="1"/>
  <c r="BD36" i="68"/>
  <c r="AS23" i="69"/>
  <c r="AT36" i="69"/>
  <c r="BD46" i="68"/>
  <c r="BC41" i="68"/>
  <c r="BC29" i="68"/>
  <c r="S48" i="69"/>
  <c r="S49" i="69" s="1"/>
  <c r="K48" i="68"/>
  <c r="K49" i="68" s="1"/>
  <c r="G48" i="69"/>
  <c r="I48" i="69" s="1"/>
  <c r="BD24" i="68"/>
  <c r="T48" i="69"/>
  <c r="V48" i="69" s="1"/>
  <c r="AS39" i="69"/>
  <c r="AT29" i="69"/>
  <c r="AV29" i="69" s="1"/>
  <c r="AV48" i="68"/>
  <c r="AV49" i="68" s="1"/>
  <c r="F48" i="69"/>
  <c r="F49" i="69" s="1"/>
  <c r="BE16" i="68"/>
  <c r="BG16" i="68" s="1"/>
  <c r="AF48" i="69"/>
  <c r="AF49" i="69" s="1"/>
  <c r="AS24" i="69"/>
  <c r="BD13" i="68"/>
  <c r="BD29" i="68"/>
  <c r="AJ48" i="69"/>
  <c r="AJ49" i="69" s="1"/>
  <c r="AJ37" i="68"/>
  <c r="AL37" i="68" s="1"/>
  <c r="BC43" i="68"/>
  <c r="BD25" i="68"/>
  <c r="BE13" i="68"/>
  <c r="BG13" i="68" s="1"/>
  <c r="BD35" i="68"/>
  <c r="AS21" i="69"/>
  <c r="BA47" i="68"/>
  <c r="AS43" i="69"/>
  <c r="AS15" i="69"/>
  <c r="B48" i="68"/>
  <c r="B49" i="68" s="1"/>
  <c r="BD19" i="68"/>
  <c r="BE25" i="68"/>
  <c r="BG25" i="68" s="1"/>
  <c r="J48" i="69"/>
  <c r="J49" i="69" s="1"/>
  <c r="BD27" i="68"/>
  <c r="BE15" i="68"/>
  <c r="BG15" i="68" s="1"/>
  <c r="J48" i="68"/>
  <c r="J49" i="68" s="1"/>
  <c r="AL36" i="68"/>
  <c r="AR48" i="68"/>
  <c r="AR49" i="68" s="1"/>
  <c r="U15" i="68"/>
  <c r="AS13" i="69"/>
  <c r="AT19" i="69"/>
  <c r="BE11" i="68"/>
  <c r="BG11" i="68" s="1"/>
  <c r="BE20" i="68"/>
  <c r="BG20" i="68" s="1"/>
  <c r="AL46" i="68"/>
  <c r="BD22" i="68"/>
  <c r="BE18" i="68"/>
  <c r="BG18" i="68" s="1"/>
  <c r="U11" i="68"/>
  <c r="AK48" i="69"/>
  <c r="AK49" i="69" s="1"/>
  <c r="AC48" i="69"/>
  <c r="AE48" i="69" s="1"/>
  <c r="AT13" i="69"/>
  <c r="BE10" i="68"/>
  <c r="BG10" i="68" s="1"/>
  <c r="AJ47" i="68"/>
  <c r="AL47" i="68" s="1"/>
  <c r="BD39" i="68"/>
  <c r="BD18" i="68"/>
  <c r="BD11" i="68"/>
  <c r="AS14" i="69"/>
  <c r="AT18" i="69"/>
  <c r="AB48" i="68"/>
  <c r="AD48" i="68" s="1"/>
  <c r="BD34" i="68"/>
  <c r="BD17" i="68"/>
  <c r="W48" i="68"/>
  <c r="W49" i="68" s="1"/>
  <c r="AI37" i="68"/>
  <c r="AS26" i="69"/>
  <c r="BD26" i="68"/>
  <c r="G48" i="68"/>
  <c r="G49" i="68" s="1"/>
  <c r="BA37" i="68"/>
  <c r="BE21" i="68"/>
  <c r="AS35" i="69"/>
  <c r="BD15" i="68"/>
  <c r="AS34" i="69"/>
  <c r="AS20" i="69"/>
  <c r="AL41" i="68"/>
  <c r="AT39" i="69"/>
  <c r="AO47" i="69"/>
  <c r="AT12" i="69"/>
  <c r="P48" i="69"/>
  <c r="P49" i="69" s="1"/>
  <c r="AS41" i="69"/>
  <c r="BD14" i="68"/>
  <c r="BD20" i="68"/>
  <c r="AS29" i="69"/>
  <c r="AT41" i="69"/>
  <c r="AT11" i="69"/>
  <c r="BD12" i="68"/>
  <c r="BD21" i="68"/>
  <c r="BA28" i="68"/>
  <c r="BA30" i="68" s="1"/>
  <c r="U18" i="68"/>
  <c r="Z11" i="69"/>
  <c r="BE46" i="68"/>
  <c r="BG46" i="68" s="1"/>
  <c r="AS48" i="68"/>
  <c r="AS49" i="68" s="1"/>
  <c r="AI28" i="68"/>
  <c r="AI30" i="68" s="1"/>
  <c r="I37" i="69"/>
  <c r="AT35" i="69"/>
  <c r="BC21" i="68"/>
  <c r="AG48" i="69"/>
  <c r="AG49" i="69" s="1"/>
  <c r="AT25" i="69"/>
  <c r="AT20" i="69"/>
  <c r="BD23" i="68"/>
  <c r="AF48" i="68"/>
  <c r="AF49" i="68" s="1"/>
  <c r="BD16" i="68"/>
  <c r="AE47" i="69"/>
  <c r="F48" i="68"/>
  <c r="F49" i="68" s="1"/>
  <c r="M28" i="69"/>
  <c r="AN48" i="68"/>
  <c r="AP48" i="68" s="1"/>
  <c r="BE14" i="68"/>
  <c r="BG14" i="68" s="1"/>
  <c r="U21" i="68"/>
  <c r="I37" i="68"/>
  <c r="BE24" i="68"/>
  <c r="BG24" i="68" s="1"/>
  <c r="BC26" i="68"/>
  <c r="AS11" i="69"/>
  <c r="BE39" i="68"/>
  <c r="BG39" i="68" s="1"/>
  <c r="AP37" i="68"/>
  <c r="AP37" i="69"/>
  <c r="AR37" i="69" s="1"/>
  <c r="AT34" i="69"/>
  <c r="Z36" i="69"/>
  <c r="AT43" i="69"/>
  <c r="AS12" i="69"/>
  <c r="O48" i="68"/>
  <c r="BE41" i="68"/>
  <c r="BD41" i="68"/>
  <c r="AZ28" i="68"/>
  <c r="AZ30" i="68" s="1"/>
  <c r="O48" i="69"/>
  <c r="O49" i="69" s="1"/>
  <c r="E28" i="69"/>
  <c r="AO28" i="69"/>
  <c r="AO30" i="69" s="1"/>
  <c r="AT26" i="69"/>
  <c r="AS46" i="69"/>
  <c r="BE43" i="68"/>
  <c r="BE12" i="68"/>
  <c r="BD43" i="68"/>
  <c r="AQ30" i="69"/>
  <c r="AT33" i="69"/>
  <c r="X37" i="69"/>
  <c r="Z33" i="69"/>
  <c r="AQ48" i="69"/>
  <c r="I28" i="69"/>
  <c r="AT24" i="69"/>
  <c r="Z24" i="69"/>
  <c r="AT17" i="69"/>
  <c r="AT14" i="69"/>
  <c r="Z16" i="69"/>
  <c r="AT16" i="69"/>
  <c r="W28" i="69"/>
  <c r="W30" i="69" s="1"/>
  <c r="AS10" i="69"/>
  <c r="AT46" i="69"/>
  <c r="Z46" i="69"/>
  <c r="C48" i="69"/>
  <c r="C49" i="69" s="1"/>
  <c r="E37" i="69"/>
  <c r="Z45" i="69"/>
  <c r="X47" i="69"/>
  <c r="Z47" i="69" s="1"/>
  <c r="AT45" i="69"/>
  <c r="Z34" i="69"/>
  <c r="W37" i="69"/>
  <c r="AS33" i="69"/>
  <c r="AT27" i="69"/>
  <c r="Z27" i="69"/>
  <c r="Z39" i="69"/>
  <c r="AT23" i="69"/>
  <c r="Z23" i="69"/>
  <c r="Z18" i="69"/>
  <c r="AT15" i="69"/>
  <c r="AO37" i="69"/>
  <c r="Z12" i="69"/>
  <c r="AP28" i="69"/>
  <c r="AP30" i="69" s="1"/>
  <c r="AT22" i="69"/>
  <c r="Z22" i="69"/>
  <c r="AR33" i="69"/>
  <c r="U49" i="69"/>
  <c r="X28" i="69"/>
  <c r="X30" i="69" s="1"/>
  <c r="AT10" i="69"/>
  <c r="AV10" i="69" s="1"/>
  <c r="AB48" i="69"/>
  <c r="AB49" i="69" s="1"/>
  <c r="AH49" i="69"/>
  <c r="AI30" i="69"/>
  <c r="W47" i="69"/>
  <c r="AS45" i="69"/>
  <c r="AS27" i="69"/>
  <c r="AP47" i="69"/>
  <c r="AR47" i="69" s="1"/>
  <c r="H49" i="69"/>
  <c r="AR19" i="69"/>
  <c r="AU19" i="69"/>
  <c r="AE28" i="69"/>
  <c r="AD30" i="69"/>
  <c r="Z29" i="69"/>
  <c r="AT21" i="69"/>
  <c r="AS19" i="69"/>
  <c r="Z17" i="69"/>
  <c r="Y30" i="69"/>
  <c r="AU37" i="69"/>
  <c r="L49" i="69"/>
  <c r="M30" i="69"/>
  <c r="BF47" i="68"/>
  <c r="AU37" i="68"/>
  <c r="AT48" i="68"/>
  <c r="U39" i="68"/>
  <c r="U34" i="68"/>
  <c r="BE34" i="68"/>
  <c r="BF34" i="68"/>
  <c r="BC34" i="68"/>
  <c r="T48" i="68"/>
  <c r="AT30" i="68"/>
  <c r="AU28" i="68"/>
  <c r="BF23" i="68"/>
  <c r="AK30" i="68"/>
  <c r="BF12" i="68"/>
  <c r="U12" i="68"/>
  <c r="U13" i="68"/>
  <c r="D49" i="68"/>
  <c r="E30" i="68"/>
  <c r="S28" i="68"/>
  <c r="S30" i="68" s="1"/>
  <c r="AK48" i="68"/>
  <c r="BB37" i="68"/>
  <c r="BE26" i="68"/>
  <c r="BG26" i="68" s="1"/>
  <c r="U26" i="68"/>
  <c r="BF21" i="68"/>
  <c r="BB28" i="68"/>
  <c r="AP30" i="68"/>
  <c r="U17" i="68"/>
  <c r="BE17" i="68"/>
  <c r="BG17" i="68" s="1"/>
  <c r="E28" i="68"/>
  <c r="AJ28" i="68"/>
  <c r="AJ30" i="68" s="1"/>
  <c r="U24" i="68"/>
  <c r="AW48" i="68"/>
  <c r="AY48" i="68" s="1"/>
  <c r="AW30" i="68"/>
  <c r="AY28" i="68"/>
  <c r="R28" i="68"/>
  <c r="R30" i="68" s="1"/>
  <c r="BD10" i="68"/>
  <c r="S37" i="68"/>
  <c r="BE33" i="68"/>
  <c r="BG33" i="68" s="1"/>
  <c r="U33" i="68"/>
  <c r="U22" i="68"/>
  <c r="BE22" i="68"/>
  <c r="BG22" i="68" s="1"/>
  <c r="U14" i="68"/>
  <c r="BC45" i="68"/>
  <c r="BB47" i="68"/>
  <c r="U36" i="68"/>
  <c r="BE36" i="68"/>
  <c r="BG36" i="68" s="1"/>
  <c r="U46" i="68"/>
  <c r="L49" i="68"/>
  <c r="U35" i="68"/>
  <c r="BE35" i="68"/>
  <c r="BG35" i="68" s="1"/>
  <c r="U27" i="68"/>
  <c r="BE27" i="68"/>
  <c r="BG27" i="68" s="1"/>
  <c r="U19" i="68"/>
  <c r="BE19" i="68"/>
  <c r="BG19" i="68" s="1"/>
  <c r="T28" i="68"/>
  <c r="S47" i="68"/>
  <c r="U47" i="68" s="1"/>
  <c r="BE45" i="68"/>
  <c r="BD45" i="68"/>
  <c r="R47" i="68"/>
  <c r="BF41" i="68"/>
  <c r="X48" i="68"/>
  <c r="Z48" i="68" s="1"/>
  <c r="Z37" i="68"/>
  <c r="BF43" i="68"/>
  <c r="AL34" i="68"/>
  <c r="R37" i="68"/>
  <c r="BD33" i="68"/>
  <c r="BE29" i="68"/>
  <c r="BG29" i="68" s="1"/>
  <c r="U29" i="68"/>
  <c r="AP28" i="68"/>
  <c r="C48" i="68"/>
  <c r="E48" i="68" s="1"/>
  <c r="H30" i="68"/>
  <c r="I28" i="68"/>
  <c r="G49" i="69" l="1"/>
  <c r="BF28" i="68"/>
  <c r="M48" i="68"/>
  <c r="BG23" i="68"/>
  <c r="T49" i="69"/>
  <c r="AI48" i="68"/>
  <c r="AI49" i="68" s="1"/>
  <c r="BD47" i="68"/>
  <c r="K49" i="69"/>
  <c r="AV36" i="69"/>
  <c r="AC49" i="69"/>
  <c r="AV39" i="69"/>
  <c r="AV20" i="69"/>
  <c r="AB49" i="68"/>
  <c r="BE47" i="68"/>
  <c r="BG47" i="68" s="1"/>
  <c r="AV26" i="69"/>
  <c r="AJ48" i="68"/>
  <c r="AL48" i="68" s="1"/>
  <c r="BA48" i="68"/>
  <c r="BA49" i="68" s="1"/>
  <c r="BG34" i="68"/>
  <c r="BD37" i="68"/>
  <c r="BC47" i="68"/>
  <c r="AV18" i="69"/>
  <c r="AV41" i="69"/>
  <c r="BG41" i="68"/>
  <c r="AI48" i="69"/>
  <c r="I48" i="68"/>
  <c r="AV34" i="69"/>
  <c r="AO48" i="69"/>
  <c r="AO49" i="69" s="1"/>
  <c r="BG21" i="68"/>
  <c r="AV13" i="69"/>
  <c r="AV12" i="69"/>
  <c r="AV35" i="69"/>
  <c r="BE28" i="68"/>
  <c r="BE30" i="68" s="1"/>
  <c r="AV11" i="69"/>
  <c r="AZ49" i="68"/>
  <c r="BG43" i="68"/>
  <c r="W48" i="69"/>
  <c r="W49" i="69" s="1"/>
  <c r="AU48" i="68"/>
  <c r="AV25" i="69"/>
  <c r="BG12" i="68"/>
  <c r="AN49" i="68"/>
  <c r="Z28" i="69"/>
  <c r="AV16" i="69"/>
  <c r="AV43" i="69"/>
  <c r="BD28" i="68"/>
  <c r="BD30" i="68" s="1"/>
  <c r="BG45" i="68"/>
  <c r="AV14" i="69"/>
  <c r="AP48" i="69"/>
  <c r="AR48" i="69" s="1"/>
  <c r="E48" i="69"/>
  <c r="O49" i="68"/>
  <c r="Q48" i="68"/>
  <c r="C49" i="68"/>
  <c r="E49" i="69"/>
  <c r="AV27" i="69"/>
  <c r="AU48" i="69"/>
  <c r="AD49" i="69"/>
  <c r="AE30" i="69"/>
  <c r="I49" i="69"/>
  <c r="AI49" i="69"/>
  <c r="AV46" i="69"/>
  <c r="AV24" i="69"/>
  <c r="AV22" i="69"/>
  <c r="AV15" i="69"/>
  <c r="AS47" i="69"/>
  <c r="AV17" i="69"/>
  <c r="X48" i="69"/>
  <c r="Z48" i="69" s="1"/>
  <c r="Z37" i="69"/>
  <c r="AQ49" i="69"/>
  <c r="AR30" i="69"/>
  <c r="Y49" i="69"/>
  <c r="Z30" i="69"/>
  <c r="AV21" i="69"/>
  <c r="AV19" i="69"/>
  <c r="AT28" i="69"/>
  <c r="AU28" i="69"/>
  <c r="AV23" i="69"/>
  <c r="AS37" i="69"/>
  <c r="AT47" i="69"/>
  <c r="AV45" i="69"/>
  <c r="AS28" i="69"/>
  <c r="AT37" i="69"/>
  <c r="AV33" i="69"/>
  <c r="AR28" i="69"/>
  <c r="I30" i="68"/>
  <c r="H49" i="68"/>
  <c r="BF30" i="68"/>
  <c r="BC37" i="68"/>
  <c r="BB48" i="68"/>
  <c r="R48" i="68"/>
  <c r="R49" i="68" s="1"/>
  <c r="T30" i="68"/>
  <c r="U28" i="68"/>
  <c r="BB30" i="68"/>
  <c r="BC28" i="68"/>
  <c r="M49" i="68"/>
  <c r="BE37" i="68"/>
  <c r="AK49" i="68"/>
  <c r="BF37" i="68"/>
  <c r="S48" i="68"/>
  <c r="U48" i="68" s="1"/>
  <c r="AW49" i="68"/>
  <c r="AY30" i="68"/>
  <c r="X49" i="68"/>
  <c r="AT49" i="68"/>
  <c r="AU30" i="68"/>
  <c r="U37" i="68"/>
  <c r="BD48" i="68" l="1"/>
  <c r="BD49" i="68" s="1"/>
  <c r="M49" i="69"/>
  <c r="V49" i="69"/>
  <c r="BC48" i="68"/>
  <c r="BE48" i="68"/>
  <c r="BE49" i="68" s="1"/>
  <c r="AD49" i="68"/>
  <c r="AP49" i="69"/>
  <c r="AJ49" i="68"/>
  <c r="BG28" i="68"/>
  <c r="S49" i="68"/>
  <c r="AP49" i="68"/>
  <c r="E49" i="68"/>
  <c r="Q49" i="68"/>
  <c r="AT30" i="69"/>
  <c r="AV47" i="69"/>
  <c r="AE49" i="69"/>
  <c r="AT48" i="69"/>
  <c r="AS30" i="69"/>
  <c r="AS48" i="69"/>
  <c r="AU30" i="69"/>
  <c r="AV28" i="69"/>
  <c r="X49" i="69"/>
  <c r="AV37" i="69"/>
  <c r="AU49" i="68"/>
  <c r="T49" i="68"/>
  <c r="U30" i="68"/>
  <c r="I49" i="68"/>
  <c r="Z49" i="68"/>
  <c r="BG37" i="68"/>
  <c r="BF48" i="68"/>
  <c r="BF49" i="68"/>
  <c r="BG30" i="68"/>
  <c r="AY49" i="68"/>
  <c r="BB49" i="68"/>
  <c r="BC30" i="68"/>
  <c r="E26" i="67"/>
  <c r="E25" i="67"/>
  <c r="E24" i="67"/>
  <c r="E22" i="67"/>
  <c r="E21" i="67"/>
  <c r="E20" i="67"/>
  <c r="E19" i="67"/>
  <c r="E18" i="67"/>
  <c r="E17" i="67"/>
  <c r="E16" i="67"/>
  <c r="E14" i="67"/>
  <c r="E13" i="67"/>
  <c r="E12" i="67"/>
  <c r="E11" i="67"/>
  <c r="E10" i="67"/>
  <c r="E9" i="67"/>
  <c r="E8" i="67"/>
  <c r="G26" i="67"/>
  <c r="J26" i="67" s="1"/>
  <c r="G25" i="67"/>
  <c r="J25" i="67" s="1"/>
  <c r="G24" i="67"/>
  <c r="J24" i="67" s="1"/>
  <c r="G22" i="67"/>
  <c r="J22" i="67" s="1"/>
  <c r="G21" i="67"/>
  <c r="J21" i="67" s="1"/>
  <c r="G20" i="67"/>
  <c r="J20" i="67" s="1"/>
  <c r="G19" i="67"/>
  <c r="J19" i="67" s="1"/>
  <c r="G18" i="67"/>
  <c r="J18" i="67" s="1"/>
  <c r="G17" i="67"/>
  <c r="J17" i="67" s="1"/>
  <c r="G16" i="67"/>
  <c r="J16" i="67" s="1"/>
  <c r="G14" i="67"/>
  <c r="J14" i="67" s="1"/>
  <c r="G13" i="67"/>
  <c r="J13" i="67" s="1"/>
  <c r="G12" i="67"/>
  <c r="J12" i="67" s="1"/>
  <c r="G11" i="67"/>
  <c r="J11" i="67" s="1"/>
  <c r="I10" i="67"/>
  <c r="I15" i="67" s="1"/>
  <c r="G10" i="67"/>
  <c r="G9" i="67"/>
  <c r="J9" i="67" s="1"/>
  <c r="G8" i="67"/>
  <c r="J8" i="67" s="1"/>
  <c r="I27" i="67"/>
  <c r="H27" i="67"/>
  <c r="I23" i="67"/>
  <c r="H23" i="67"/>
  <c r="H15" i="67"/>
  <c r="E238" i="60"/>
  <c r="C238" i="60"/>
  <c r="BG48" i="68" l="1"/>
  <c r="AL49" i="68"/>
  <c r="AR49" i="69"/>
  <c r="AV48" i="69"/>
  <c r="AT49" i="69"/>
  <c r="Z49" i="69"/>
  <c r="AU49" i="69"/>
  <c r="AV30" i="69"/>
  <c r="AS49" i="69"/>
  <c r="BC49" i="68"/>
  <c r="BG49" i="68"/>
  <c r="U49" i="68"/>
  <c r="J10" i="67"/>
  <c r="J15" i="67" s="1"/>
  <c r="H28" i="67"/>
  <c r="I28" i="67"/>
  <c r="G27" i="67"/>
  <c r="J27" i="67"/>
  <c r="J23" i="67"/>
  <c r="G15" i="67"/>
  <c r="G23" i="67"/>
  <c r="AV49" i="69" l="1"/>
  <c r="J28" i="67"/>
  <c r="G28" i="67"/>
  <c r="E54" i="14"/>
  <c r="E53" i="14"/>
  <c r="I113" i="39"/>
  <c r="I114" i="39"/>
  <c r="I103" i="39"/>
  <c r="I102" i="39"/>
  <c r="I90" i="39"/>
  <c r="I66" i="39"/>
  <c r="B14" i="66"/>
  <c r="B15" i="66" s="1"/>
  <c r="G89" i="63"/>
  <c r="G88" i="63"/>
  <c r="G87" i="63"/>
  <c r="G86" i="63"/>
  <c r="G76" i="63"/>
  <c r="G75" i="63"/>
  <c r="G74" i="63"/>
  <c r="F73" i="63"/>
  <c r="E73" i="63"/>
  <c r="G71" i="63"/>
  <c r="G70" i="63"/>
  <c r="G69" i="63"/>
  <c r="G68" i="63"/>
  <c r="F67" i="63"/>
  <c r="E67" i="63"/>
  <c r="G59" i="63"/>
  <c r="G55" i="63"/>
  <c r="G53" i="63"/>
  <c r="F53" i="63"/>
  <c r="E53" i="63"/>
  <c r="G49" i="63"/>
  <c r="E49" i="63"/>
  <c r="G48" i="63"/>
  <c r="G47" i="63"/>
  <c r="G46" i="63"/>
  <c r="F45" i="63"/>
  <c r="E45" i="63"/>
  <c r="G44" i="63"/>
  <c r="G43" i="63"/>
  <c r="G42" i="63"/>
  <c r="G40" i="63" s="1"/>
  <c r="F40" i="63"/>
  <c r="G41" i="63"/>
  <c r="E40" i="63"/>
  <c r="G38" i="63"/>
  <c r="G37" i="63"/>
  <c r="F36" i="63"/>
  <c r="E36" i="63"/>
  <c r="G35" i="63"/>
  <c r="G34" i="63"/>
  <c r="G33" i="63"/>
  <c r="G32" i="63"/>
  <c r="E27" i="63"/>
  <c r="G31" i="63"/>
  <c r="G30" i="63"/>
  <c r="G29" i="63"/>
  <c r="G28" i="63"/>
  <c r="F27" i="63"/>
  <c r="G26" i="63"/>
  <c r="G25" i="63"/>
  <c r="G24" i="63"/>
  <c r="G23" i="63"/>
  <c r="G21" i="63"/>
  <c r="E20" i="63"/>
  <c r="G17" i="63"/>
  <c r="G16" i="63"/>
  <c r="F15" i="63"/>
  <c r="E15" i="63"/>
  <c r="G14" i="63"/>
  <c r="G13" i="63"/>
  <c r="G12" i="63"/>
  <c r="E11" i="63"/>
  <c r="E10" i="63" s="1"/>
  <c r="E17" i="61"/>
  <c r="E13" i="61"/>
  <c r="E11" i="61"/>
  <c r="E232" i="60"/>
  <c r="C232" i="60"/>
  <c r="E226" i="60"/>
  <c r="C226" i="60"/>
  <c r="E220" i="60"/>
  <c r="C220" i="60"/>
  <c r="E214" i="60"/>
  <c r="C214" i="60"/>
  <c r="E208" i="60"/>
  <c r="C208" i="60"/>
  <c r="E202" i="60"/>
  <c r="C202" i="60"/>
  <c r="E196" i="60"/>
  <c r="C196" i="60"/>
  <c r="E188" i="60"/>
  <c r="C188" i="60"/>
  <c r="E181" i="60"/>
  <c r="C181" i="60"/>
  <c r="E173" i="60"/>
  <c r="C173" i="60"/>
  <c r="E165" i="60"/>
  <c r="C165" i="60"/>
  <c r="E159" i="60"/>
  <c r="C159" i="60"/>
  <c r="E153" i="60"/>
  <c r="C153" i="60"/>
  <c r="E147" i="60"/>
  <c r="C147" i="60"/>
  <c r="C141" i="60"/>
  <c r="E140" i="60"/>
  <c r="E141" i="60" s="1"/>
  <c r="C134" i="60"/>
  <c r="E133" i="60"/>
  <c r="E134" i="60" s="1"/>
  <c r="C128" i="60"/>
  <c r="E127" i="60"/>
  <c r="E128" i="60" s="1"/>
  <c r="C121" i="60"/>
  <c r="E118" i="60"/>
  <c r="E121" i="60" s="1"/>
  <c r="C114" i="60"/>
  <c r="E113" i="60"/>
  <c r="E111" i="60"/>
  <c r="E106" i="60"/>
  <c r="C106" i="60"/>
  <c r="E98" i="60"/>
  <c r="C98" i="60"/>
  <c r="E88" i="60"/>
  <c r="E91" i="60" s="1"/>
  <c r="C86" i="60"/>
  <c r="C91" i="60" s="1"/>
  <c r="E84" i="60"/>
  <c r="C84" i="60"/>
  <c r="C77" i="60"/>
  <c r="E74" i="60"/>
  <c r="E77" i="60" s="1"/>
  <c r="C70" i="60"/>
  <c r="E69" i="60"/>
  <c r="E66" i="60"/>
  <c r="E70" i="60" s="1"/>
  <c r="E65" i="60"/>
  <c r="C65" i="60"/>
  <c r="C57" i="60"/>
  <c r="E54" i="60"/>
  <c r="E57" i="60" s="1"/>
  <c r="C48" i="60"/>
  <c r="E45" i="60"/>
  <c r="E43" i="60"/>
  <c r="E42" i="60"/>
  <c r="E41" i="60"/>
  <c r="C34" i="60"/>
  <c r="E28" i="60"/>
  <c r="E34" i="60" s="1"/>
  <c r="E17" i="60"/>
  <c r="C17" i="60"/>
  <c r="F17" i="60" s="1"/>
  <c r="G71" i="59"/>
  <c r="F71" i="59"/>
  <c r="G70" i="59"/>
  <c r="F70" i="59"/>
  <c r="G68" i="59"/>
  <c r="F68" i="59"/>
  <c r="G64" i="59"/>
  <c r="F64" i="59"/>
  <c r="G60" i="59"/>
  <c r="F60" i="59"/>
  <c r="G56" i="59"/>
  <c r="F56" i="59"/>
  <c r="G50" i="59"/>
  <c r="F50" i="59"/>
  <c r="F49" i="59"/>
  <c r="F47" i="59"/>
  <c r="G47" i="59"/>
  <c r="G43" i="59"/>
  <c r="F43" i="59"/>
  <c r="G49" i="59"/>
  <c r="G39" i="59"/>
  <c r="F39" i="59"/>
  <c r="G34" i="59"/>
  <c r="F34" i="59"/>
  <c r="F33" i="59"/>
  <c r="G31" i="59"/>
  <c r="F31" i="59"/>
  <c r="G33" i="59"/>
  <c r="G27" i="59"/>
  <c r="F27" i="59"/>
  <c r="G23" i="59"/>
  <c r="F23" i="59"/>
  <c r="G19" i="59"/>
  <c r="F19" i="59"/>
  <c r="G15" i="59"/>
  <c r="F15" i="59"/>
  <c r="G11" i="59"/>
  <c r="F11" i="59"/>
  <c r="G134" i="58"/>
  <c r="F134" i="58"/>
  <c r="F133" i="58"/>
  <c r="G131" i="58"/>
  <c r="F131" i="58"/>
  <c r="F127" i="58"/>
  <c r="G133" i="58"/>
  <c r="G123" i="58"/>
  <c r="F123" i="58"/>
  <c r="G119" i="58"/>
  <c r="F119" i="58"/>
  <c r="F114" i="58"/>
  <c r="F113" i="58"/>
  <c r="F111" i="58"/>
  <c r="G107" i="58"/>
  <c r="F107" i="58"/>
  <c r="F103" i="58"/>
  <c r="G98" i="58"/>
  <c r="F98" i="58"/>
  <c r="G97" i="58"/>
  <c r="F97" i="58"/>
  <c r="G94" i="58"/>
  <c r="F94" i="58"/>
  <c r="G90" i="58"/>
  <c r="F90" i="58"/>
  <c r="G86" i="58"/>
  <c r="F86" i="58"/>
  <c r="G82" i="58"/>
  <c r="F82" i="58"/>
  <c r="G72" i="58"/>
  <c r="F72" i="58"/>
  <c r="G71" i="58"/>
  <c r="F71" i="58"/>
  <c r="G69" i="58"/>
  <c r="F69" i="58"/>
  <c r="G65" i="58"/>
  <c r="F65" i="58"/>
  <c r="G57" i="58"/>
  <c r="F57" i="58"/>
  <c r="G52" i="58"/>
  <c r="F52" i="58"/>
  <c r="G51" i="58"/>
  <c r="F51" i="58"/>
  <c r="G49" i="58"/>
  <c r="F49" i="58"/>
  <c r="G45" i="58"/>
  <c r="F45" i="58"/>
  <c r="G40" i="58"/>
  <c r="F40" i="58"/>
  <c r="G39" i="58"/>
  <c r="F39" i="58"/>
  <c r="G37" i="58"/>
  <c r="F37" i="58"/>
  <c r="G33" i="58"/>
  <c r="F33" i="58"/>
  <c r="G29" i="58"/>
  <c r="F29" i="58"/>
  <c r="G25" i="58"/>
  <c r="F25" i="58"/>
  <c r="G20" i="58"/>
  <c r="G60" i="58" s="1"/>
  <c r="F20" i="58"/>
  <c r="F60" i="58" s="1"/>
  <c r="G19" i="58"/>
  <c r="G59" i="58" s="1"/>
  <c r="F19" i="58"/>
  <c r="F59" i="58" s="1"/>
  <c r="G17" i="58"/>
  <c r="F17" i="58"/>
  <c r="G13" i="58"/>
  <c r="F13" i="58"/>
  <c r="H9" i="57"/>
  <c r="G9" i="57"/>
  <c r="F9" i="57"/>
  <c r="E9" i="57"/>
  <c r="D9" i="57"/>
  <c r="D40" i="56"/>
  <c r="C40" i="56"/>
  <c r="D18" i="56"/>
  <c r="C18" i="56"/>
  <c r="C16" i="55"/>
  <c r="J19" i="53"/>
  <c r="E19" i="53"/>
  <c r="I17" i="53"/>
  <c r="J16" i="53"/>
  <c r="E16" i="53"/>
  <c r="J15" i="53"/>
  <c r="H17" i="53"/>
  <c r="E15" i="53"/>
  <c r="J14" i="53"/>
  <c r="D17" i="53"/>
  <c r="E14" i="53"/>
  <c r="I13" i="53"/>
  <c r="H13" i="53"/>
  <c r="C13" i="53"/>
  <c r="J12" i="53"/>
  <c r="J11" i="53"/>
  <c r="E11" i="53"/>
  <c r="J10" i="53"/>
  <c r="E10" i="53"/>
  <c r="J9" i="53"/>
  <c r="D13" i="53"/>
  <c r="J8" i="53"/>
  <c r="E8" i="53"/>
  <c r="F67" i="43"/>
  <c r="F39" i="40"/>
  <c r="F35" i="40"/>
  <c r="F32" i="40"/>
  <c r="F31" i="40"/>
  <c r="C13" i="66" l="1"/>
  <c r="D13" i="66" s="1"/>
  <c r="C9" i="66"/>
  <c r="D9" i="66" s="1"/>
  <c r="C12" i="66"/>
  <c r="C11" i="66"/>
  <c r="C14" i="66"/>
  <c r="D14" i="66" s="1"/>
  <c r="C10" i="66"/>
  <c r="G45" i="63"/>
  <c r="G85" i="63"/>
  <c r="G73" i="63"/>
  <c r="G67" i="63"/>
  <c r="G36" i="63"/>
  <c r="G27" i="63"/>
  <c r="E19" i="63"/>
  <c r="E18" i="63" s="1"/>
  <c r="E9" i="63" s="1"/>
  <c r="G20" i="63"/>
  <c r="G15" i="63"/>
  <c r="G11" i="63"/>
  <c r="E48" i="60"/>
  <c r="E114" i="60"/>
  <c r="J17" i="53"/>
  <c r="H18" i="53"/>
  <c r="H20" i="53" s="1"/>
  <c r="G41" i="58"/>
  <c r="G72" i="59"/>
  <c r="G75" i="59"/>
  <c r="G51" i="59"/>
  <c r="F72" i="59"/>
  <c r="F51" i="59"/>
  <c r="F35" i="59"/>
  <c r="G73" i="58"/>
  <c r="G53" i="58"/>
  <c r="F115" i="58"/>
  <c r="F73" i="58"/>
  <c r="F99" i="58"/>
  <c r="G114" i="58"/>
  <c r="G138" i="58" s="1"/>
  <c r="G99" i="58"/>
  <c r="G135" i="58"/>
  <c r="F135" i="58"/>
  <c r="F138" i="58"/>
  <c r="F53" i="58"/>
  <c r="F41" i="58"/>
  <c r="I33" i="61"/>
  <c r="I18" i="53"/>
  <c r="I20" i="53" s="1"/>
  <c r="J13" i="53"/>
  <c r="G61" i="58"/>
  <c r="G21" i="58"/>
  <c r="G35" i="59"/>
  <c r="G74" i="59"/>
  <c r="F75" i="59"/>
  <c r="D12" i="66"/>
  <c r="D10" i="66"/>
  <c r="D11" i="66"/>
  <c r="F137" i="58"/>
  <c r="F61" i="58"/>
  <c r="F74" i="59"/>
  <c r="G111" i="58"/>
  <c r="G113" i="58"/>
  <c r="G127" i="58"/>
  <c r="F34" i="60"/>
  <c r="E18" i="61"/>
  <c r="F21" i="58"/>
  <c r="G103" i="58"/>
  <c r="F20" i="63"/>
  <c r="F19" i="63" s="1"/>
  <c r="F18" i="63" s="1"/>
  <c r="F11" i="63"/>
  <c r="F10" i="63" s="1"/>
  <c r="E17" i="53"/>
  <c r="D18" i="53"/>
  <c r="D20" i="53" s="1"/>
  <c r="E13" i="53"/>
  <c r="C17" i="53"/>
  <c r="C18" i="53" s="1"/>
  <c r="C20" i="53" s="1"/>
  <c r="E9" i="53"/>
  <c r="G10" i="63" l="1"/>
  <c r="G19" i="63"/>
  <c r="G18" i="63"/>
  <c r="F9" i="63"/>
  <c r="F48" i="60"/>
  <c r="F57" i="60" s="1"/>
  <c r="F65" i="60" s="1"/>
  <c r="F70" i="60" s="1"/>
  <c r="F77" i="60" s="1"/>
  <c r="F84" i="60" s="1"/>
  <c r="F91" i="60" s="1"/>
  <c r="F98" i="60" s="1"/>
  <c r="F106" i="60" s="1"/>
  <c r="F114" i="60" s="1"/>
  <c r="F121" i="60" s="1"/>
  <c r="F128" i="60" s="1"/>
  <c r="F134" i="60" s="1"/>
  <c r="F141" i="60" s="1"/>
  <c r="F147" i="60" s="1"/>
  <c r="F153" i="60" s="1"/>
  <c r="F159" i="60" s="1"/>
  <c r="F165" i="60" s="1"/>
  <c r="F173" i="60" s="1"/>
  <c r="F181" i="60" s="1"/>
  <c r="F188" i="60" s="1"/>
  <c r="F196" i="60" s="1"/>
  <c r="F202" i="60" s="1"/>
  <c r="F208" i="60" s="1"/>
  <c r="F214" i="60" s="1"/>
  <c r="F220" i="60" s="1"/>
  <c r="F226" i="60" s="1"/>
  <c r="F232" i="60" s="1"/>
  <c r="F238" i="60" s="1"/>
  <c r="J18" i="53"/>
  <c r="J20" i="53" s="1"/>
  <c r="G115" i="58"/>
  <c r="G76" i="59"/>
  <c r="F76" i="59"/>
  <c r="F139" i="58"/>
  <c r="F78" i="59" s="1"/>
  <c r="F14" i="61"/>
  <c r="F13" i="61"/>
  <c r="F18" i="61"/>
  <c r="F16" i="61"/>
  <c r="F10" i="61"/>
  <c r="F15" i="61"/>
  <c r="F12" i="61"/>
  <c r="D8" i="66"/>
  <c r="C15" i="66"/>
  <c r="D15" i="66" s="1"/>
  <c r="F11" i="61"/>
  <c r="F17" i="61"/>
  <c r="G137" i="58"/>
  <c r="G139" i="58" s="1"/>
  <c r="G78" i="59" s="1"/>
  <c r="E18" i="53"/>
  <c r="E20" i="53"/>
  <c r="C4" i="54" s="1"/>
  <c r="F53" i="43"/>
  <c r="C8" i="54" l="1"/>
  <c r="G9" i="63"/>
  <c r="G79" i="59"/>
  <c r="F79" i="59"/>
  <c r="I82" i="39"/>
  <c r="C9" i="54" l="1"/>
  <c r="H89" i="39"/>
  <c r="H78" i="39" l="1"/>
  <c r="I42" i="39"/>
  <c r="E25" i="22"/>
  <c r="D35" i="11"/>
  <c r="D36" i="14"/>
  <c r="D36" i="11" l="1"/>
  <c r="F30" i="43" l="1"/>
  <c r="F23" i="43"/>
  <c r="F42" i="43"/>
  <c r="G59" i="41"/>
  <c r="F60" i="41"/>
  <c r="I38" i="39"/>
  <c r="M52" i="41"/>
  <c r="F40" i="43" l="1"/>
  <c r="E30" i="25"/>
  <c r="E23" i="22"/>
  <c r="E24" i="22"/>
  <c r="E26" i="22"/>
  <c r="E90" i="14"/>
  <c r="E97" i="14"/>
  <c r="E29" i="14"/>
  <c r="E43" i="36"/>
  <c r="E44" i="36"/>
  <c r="I81" i="39"/>
  <c r="I96" i="39" l="1"/>
  <c r="E96" i="14" l="1"/>
  <c r="L54" i="41"/>
  <c r="I45" i="39"/>
  <c r="I20" i="24"/>
  <c r="I19" i="24"/>
  <c r="I44" i="39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92" i="14"/>
  <c r="F23" i="40"/>
  <c r="I86" i="39"/>
  <c r="F11" i="43" l="1"/>
  <c r="E64" i="14"/>
  <c r="E33" i="11"/>
  <c r="I85" i="39"/>
  <c r="E17" i="36"/>
  <c r="D10" i="9"/>
  <c r="I12" i="24"/>
  <c r="I27" i="24" l="1"/>
  <c r="I28" i="24"/>
  <c r="I26" i="24"/>
  <c r="E51" i="36"/>
  <c r="I112" i="39"/>
  <c r="C62" i="14"/>
  <c r="F32" i="43" l="1"/>
  <c r="D16" i="36"/>
  <c r="D19" i="36" s="1"/>
  <c r="D12" i="36"/>
  <c r="E18" i="36"/>
  <c r="D64" i="36"/>
  <c r="C64" i="36"/>
  <c r="B64" i="36"/>
  <c r="D60" i="36"/>
  <c r="C60" i="36"/>
  <c r="B60" i="36"/>
  <c r="E46" i="36"/>
  <c r="F8" i="43"/>
  <c r="F9" i="43"/>
  <c r="D27" i="22"/>
  <c r="C27" i="22"/>
  <c r="D20" i="36" l="1"/>
  <c r="F116" i="39"/>
  <c r="G116" i="39"/>
  <c r="H116" i="39"/>
  <c r="I115" i="39"/>
  <c r="E95" i="14" l="1"/>
  <c r="E40" i="14"/>
  <c r="E18" i="12"/>
  <c r="E26" i="36"/>
  <c r="E27" i="14"/>
  <c r="E28" i="14"/>
  <c r="E30" i="14"/>
  <c r="F24" i="43" l="1"/>
  <c r="E22" i="22"/>
  <c r="F16" i="40"/>
  <c r="F58" i="43"/>
  <c r="E91" i="14"/>
  <c r="E76" i="14"/>
  <c r="E77" i="14"/>
  <c r="E78" i="14"/>
  <c r="E79" i="14"/>
  <c r="E59" i="36" l="1"/>
  <c r="B45" i="36"/>
  <c r="B47" i="36" s="1"/>
  <c r="E41" i="36"/>
  <c r="E42" i="36"/>
  <c r="I111" i="39" l="1"/>
  <c r="F26" i="39"/>
  <c r="M54" i="41"/>
  <c r="K25" i="41"/>
  <c r="M16" i="41"/>
  <c r="F62" i="43"/>
  <c r="F39" i="43"/>
  <c r="E61" i="14"/>
  <c r="E31" i="25"/>
  <c r="E31" i="11"/>
  <c r="F63" i="43" l="1"/>
  <c r="F73" i="43" l="1"/>
  <c r="F50" i="43"/>
  <c r="F28" i="43"/>
  <c r="G54" i="41"/>
  <c r="F18" i="40"/>
  <c r="I33" i="39"/>
  <c r="I43" i="39"/>
  <c r="I52" i="39"/>
  <c r="I65" i="39"/>
  <c r="I68" i="39"/>
  <c r="I69" i="39"/>
  <c r="I110" i="39"/>
  <c r="I101" i="39"/>
  <c r="I105" i="39"/>
  <c r="I109" i="39"/>
  <c r="C26" i="40" l="1"/>
  <c r="D26" i="40"/>
  <c r="E26" i="40"/>
  <c r="E29" i="25"/>
  <c r="E70" i="43"/>
  <c r="E30" i="11"/>
  <c r="F66" i="43"/>
  <c r="F29" i="40"/>
  <c r="E28" i="25"/>
  <c r="E27" i="25"/>
  <c r="E26" i="25"/>
  <c r="C87" i="14" l="1"/>
  <c r="E60" i="14"/>
  <c r="I92" i="39" l="1"/>
  <c r="I29" i="39"/>
  <c r="C19" i="40"/>
  <c r="D19" i="40"/>
  <c r="E19" i="40"/>
  <c r="F35" i="43" l="1"/>
  <c r="E66" i="14"/>
  <c r="E83" i="14"/>
  <c r="H98" i="39"/>
  <c r="I74" i="39"/>
  <c r="E12" i="40"/>
  <c r="F47" i="43"/>
  <c r="F36" i="43"/>
  <c r="F51" i="43"/>
  <c r="D45" i="36"/>
  <c r="D47" i="36" s="1"/>
  <c r="I62" i="39"/>
  <c r="E84" i="14"/>
  <c r="E14" i="14"/>
  <c r="E39" i="14"/>
  <c r="H129" i="39"/>
  <c r="H63" i="39"/>
  <c r="H48" i="39"/>
  <c r="H30" i="39"/>
  <c r="H26" i="39"/>
  <c r="H19" i="39"/>
  <c r="D12" i="40" l="1"/>
  <c r="F37" i="43"/>
  <c r="F34" i="43"/>
  <c r="F74" i="43"/>
  <c r="F56" i="43"/>
  <c r="F57" i="43"/>
  <c r="F55" i="43"/>
  <c r="F38" i="43"/>
  <c r="F33" i="43"/>
  <c r="C21" i="43"/>
  <c r="E21" i="43"/>
  <c r="D21" i="43"/>
  <c r="F12" i="43"/>
  <c r="F25" i="40"/>
  <c r="F22" i="40"/>
  <c r="F17" i="40"/>
  <c r="F15" i="40"/>
  <c r="F11" i="40"/>
  <c r="E7" i="25" l="1"/>
  <c r="E32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I25" i="24"/>
  <c r="I24" i="24"/>
  <c r="I23" i="24"/>
  <c r="I22" i="24"/>
  <c r="I18" i="24"/>
  <c r="I17" i="24"/>
  <c r="I16" i="24"/>
  <c r="I15" i="24"/>
  <c r="I14" i="24"/>
  <c r="I13" i="24"/>
  <c r="I11" i="24"/>
  <c r="I10" i="24"/>
  <c r="I9" i="24"/>
  <c r="I8" i="24"/>
  <c r="I7" i="24"/>
  <c r="E21" i="22"/>
  <c r="E94" i="14"/>
  <c r="E93" i="14"/>
  <c r="E86" i="14"/>
  <c r="E82" i="14"/>
  <c r="E81" i="14"/>
  <c r="E75" i="14"/>
  <c r="E74" i="14"/>
  <c r="E73" i="14"/>
  <c r="E72" i="14"/>
  <c r="E71" i="14"/>
  <c r="E70" i="14"/>
  <c r="E69" i="14"/>
  <c r="E68" i="14"/>
  <c r="E67" i="14"/>
  <c r="E63" i="14"/>
  <c r="E62" i="14"/>
  <c r="E59" i="14"/>
  <c r="E58" i="14"/>
  <c r="E57" i="14"/>
  <c r="E56" i="14"/>
  <c r="E55" i="14"/>
  <c r="E51" i="14"/>
  <c r="E49" i="14"/>
  <c r="E48" i="14"/>
  <c r="E47" i="14"/>
  <c r="E46" i="14"/>
  <c r="E45" i="14"/>
  <c r="E43" i="14"/>
  <c r="E42" i="14"/>
  <c r="E38" i="14"/>
  <c r="E37" i="14"/>
  <c r="E36" i="14"/>
  <c r="E35" i="14"/>
  <c r="E34" i="14"/>
  <c r="E33" i="14"/>
  <c r="E32" i="14"/>
  <c r="E31" i="14"/>
  <c r="E26" i="14"/>
  <c r="E25" i="14"/>
  <c r="E24" i="14"/>
  <c r="E23" i="14"/>
  <c r="E22" i="14"/>
  <c r="E21" i="14"/>
  <c r="E20" i="14"/>
  <c r="E19" i="14"/>
  <c r="E18" i="14"/>
  <c r="E15" i="14"/>
  <c r="E13" i="14"/>
  <c r="E12" i="14"/>
  <c r="E11" i="14"/>
  <c r="E10" i="14"/>
  <c r="E7" i="14"/>
  <c r="E6" i="14"/>
  <c r="E9" i="13" l="1"/>
  <c r="E8" i="13"/>
  <c r="E7" i="13"/>
  <c r="E19" i="12"/>
  <c r="E17" i="12"/>
  <c r="E16" i="12"/>
  <c r="E15" i="12"/>
  <c r="E14" i="12"/>
  <c r="E13" i="12"/>
  <c r="E12" i="12"/>
  <c r="E11" i="12"/>
  <c r="E10" i="12"/>
  <c r="E7" i="12"/>
  <c r="E34" i="11"/>
  <c r="E29" i="11"/>
  <c r="E28" i="11"/>
  <c r="E27" i="11"/>
  <c r="E26" i="11"/>
  <c r="E25" i="11"/>
  <c r="E24" i="11"/>
  <c r="E22" i="11"/>
  <c r="E21" i="11"/>
  <c r="E20" i="11"/>
  <c r="E19" i="11"/>
  <c r="E18" i="11"/>
  <c r="E17" i="11"/>
  <c r="E16" i="11"/>
  <c r="E14" i="11"/>
  <c r="E13" i="11"/>
  <c r="E12" i="11"/>
  <c r="E11" i="11"/>
  <c r="E10" i="11"/>
  <c r="E9" i="11"/>
  <c r="E7" i="11"/>
  <c r="E8" i="36"/>
  <c r="E62" i="36"/>
  <c r="E63" i="36"/>
  <c r="E58" i="36"/>
  <c r="E57" i="36"/>
  <c r="E52" i="36"/>
  <c r="E50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5" i="36"/>
  <c r="E24" i="36"/>
  <c r="E23" i="36"/>
  <c r="E15" i="36"/>
  <c r="E14" i="36"/>
  <c r="E11" i="36"/>
  <c r="E10" i="36"/>
  <c r="E9" i="36"/>
  <c r="E27" i="9"/>
  <c r="E25" i="9"/>
  <c r="E23" i="9"/>
  <c r="E22" i="9"/>
  <c r="E21" i="9"/>
  <c r="E20" i="9"/>
  <c r="E19" i="9"/>
  <c r="E18" i="9"/>
  <c r="E16" i="9"/>
  <c r="E15" i="9"/>
  <c r="E14" i="9"/>
  <c r="I128" i="39"/>
  <c r="I127" i="39"/>
  <c r="I126" i="39"/>
  <c r="I125" i="39"/>
  <c r="I124" i="39"/>
  <c r="I123" i="39"/>
  <c r="I122" i="39"/>
  <c r="I121" i="39"/>
  <c r="I120" i="39"/>
  <c r="I119" i="39"/>
  <c r="I118" i="39"/>
  <c r="I108" i="39"/>
  <c r="I107" i="39"/>
  <c r="I106" i="39"/>
  <c r="I95" i="39"/>
  <c r="I93" i="39"/>
  <c r="I91" i="39"/>
  <c r="I89" i="39"/>
  <c r="I88" i="39"/>
  <c r="I84" i="39"/>
  <c r="I83" i="39"/>
  <c r="I80" i="39"/>
  <c r="I79" i="39"/>
  <c r="I78" i="39"/>
  <c r="I77" i="39"/>
  <c r="I76" i="39"/>
  <c r="I75" i="39"/>
  <c r="I73" i="39"/>
  <c r="I72" i="39"/>
  <c r="I71" i="39"/>
  <c r="I70" i="39"/>
  <c r="I67" i="39"/>
  <c r="I61" i="39"/>
  <c r="I60" i="39"/>
  <c r="I59" i="39"/>
  <c r="I57" i="39"/>
  <c r="I56" i="39"/>
  <c r="I54" i="39"/>
  <c r="I41" i="39"/>
  <c r="I40" i="39"/>
  <c r="I39" i="39"/>
  <c r="I28" i="39"/>
  <c r="I25" i="39"/>
  <c r="I24" i="39"/>
  <c r="I23" i="39"/>
  <c r="I22" i="39"/>
  <c r="I21" i="39"/>
  <c r="I18" i="39"/>
  <c r="I17" i="39"/>
  <c r="I13" i="39"/>
  <c r="I14" i="39"/>
  <c r="I9" i="39"/>
  <c r="I10" i="39"/>
  <c r="I11" i="39"/>
  <c r="I8" i="39"/>
  <c r="G26" i="39"/>
  <c r="G58" i="41"/>
  <c r="M53" i="41"/>
  <c r="M51" i="41"/>
  <c r="G55" i="41"/>
  <c r="G53" i="41"/>
  <c r="G50" i="41"/>
  <c r="M21" i="41"/>
  <c r="H21" i="24" l="1"/>
  <c r="H29" i="24" s="1"/>
  <c r="C12" i="36" l="1"/>
  <c r="C70" i="43"/>
  <c r="D70" i="43"/>
  <c r="F70" i="43" l="1"/>
  <c r="E12" i="36"/>
  <c r="F26" i="40" l="1"/>
  <c r="G48" i="39" l="1"/>
  <c r="I48" i="39" s="1"/>
  <c r="F48" i="39"/>
  <c r="G30" i="39"/>
  <c r="I30" i="39" s="1"/>
  <c r="F30" i="39"/>
  <c r="I26" i="39"/>
  <c r="E105" i="14"/>
  <c r="B12" i="36" l="1"/>
  <c r="F43" i="43" l="1"/>
  <c r="D13" i="43"/>
  <c r="D77" i="36" l="1"/>
  <c r="C77" i="36"/>
  <c r="B77" i="36"/>
  <c r="E13" i="43"/>
  <c r="F49" i="43"/>
  <c r="E77" i="36" l="1"/>
  <c r="C25" i="43"/>
  <c r="D25" i="43"/>
  <c r="C17" i="43"/>
  <c r="D17" i="43"/>
  <c r="E17" i="43"/>
  <c r="C13" i="43"/>
  <c r="B27" i="22"/>
  <c r="H12" i="39"/>
  <c r="H15" i="39" s="1"/>
  <c r="H31" i="39" s="1"/>
  <c r="E27" i="22" l="1"/>
  <c r="F12" i="40" l="1"/>
  <c r="B33" i="25" l="1"/>
  <c r="C33" i="25"/>
  <c r="D33" i="25"/>
  <c r="E33" i="25" l="1"/>
  <c r="F10" i="43" l="1"/>
  <c r="E106" i="14" l="1"/>
  <c r="F69" i="43" l="1"/>
  <c r="F61" i="43" l="1"/>
  <c r="F65" i="43" l="1"/>
  <c r="D107" i="14"/>
  <c r="B107" i="14" l="1"/>
  <c r="C107" i="14"/>
  <c r="D8" i="14"/>
  <c r="C53" i="36"/>
  <c r="D53" i="36"/>
  <c r="B53" i="36"/>
  <c r="C45" i="36"/>
  <c r="C28" i="9"/>
  <c r="D28" i="9"/>
  <c r="B28" i="9"/>
  <c r="F129" i="39"/>
  <c r="E107" i="14" l="1"/>
  <c r="C47" i="36"/>
  <c r="E53" i="36"/>
  <c r="E28" i="9"/>
  <c r="E45" i="36"/>
  <c r="B8" i="14"/>
  <c r="C8" i="14"/>
  <c r="E8" i="14" l="1"/>
  <c r="C35" i="11" l="1"/>
  <c r="B35" i="11"/>
  <c r="C36" i="11" l="1"/>
  <c r="C7" i="40" l="1"/>
  <c r="D9" i="40"/>
  <c r="E9" i="40"/>
  <c r="C9" i="40"/>
  <c r="E7" i="40"/>
  <c r="D7" i="40"/>
  <c r="F63" i="39"/>
  <c r="G63" i="39"/>
  <c r="E13" i="40" l="1"/>
  <c r="F48" i="43" l="1"/>
  <c r="F7" i="43" l="1"/>
  <c r="D13" i="40"/>
  <c r="C12" i="40"/>
  <c r="C13" i="40" s="1"/>
  <c r="F19" i="40" l="1"/>
  <c r="H37" i="39" l="1"/>
  <c r="G37" i="39"/>
  <c r="F37" i="39"/>
  <c r="H34" i="39"/>
  <c r="H35" i="39" s="1"/>
  <c r="G34" i="39"/>
  <c r="F34" i="39"/>
  <c r="F12" i="39"/>
  <c r="H49" i="39" l="1"/>
  <c r="H130" i="39" s="1"/>
  <c r="I34" i="39"/>
  <c r="G15" i="39"/>
  <c r="I12" i="39"/>
  <c r="F15" i="39"/>
  <c r="I63" i="39"/>
  <c r="I116" i="39"/>
  <c r="I15" i="39" l="1"/>
  <c r="F46" i="43" l="1"/>
  <c r="G21" i="24" l="1"/>
  <c r="G29" i="24" s="1"/>
  <c r="F21" i="24"/>
  <c r="F29" i="24" s="1"/>
  <c r="D73" i="43"/>
  <c r="E73" i="43"/>
  <c r="C73" i="43"/>
  <c r="C98" i="14"/>
  <c r="D98" i="14"/>
  <c r="B98" i="14"/>
  <c r="I21" i="24" l="1"/>
  <c r="E98" i="14"/>
  <c r="I29" i="24" l="1"/>
  <c r="C20" i="12" l="1"/>
  <c r="C16" i="36"/>
  <c r="B16" i="36"/>
  <c r="B19" i="36" s="1"/>
  <c r="B20" i="36" s="1"/>
  <c r="C19" i="36" l="1"/>
  <c r="D20" i="12"/>
  <c r="E20" i="12" s="1"/>
  <c r="E19" i="36" l="1"/>
  <c r="C20" i="36"/>
  <c r="F68" i="43"/>
  <c r="D54" i="36" l="1"/>
  <c r="J60" i="41" l="1"/>
  <c r="B20" i="12" l="1"/>
  <c r="C54" i="36" l="1"/>
  <c r="E54" i="36" l="1"/>
  <c r="E16" i="13" l="1"/>
  <c r="E26" i="12" l="1"/>
  <c r="D37" i="9" l="1"/>
  <c r="E41" i="11"/>
  <c r="E36" i="9" l="1"/>
  <c r="E35" i="9"/>
  <c r="D87" i="14" l="1"/>
  <c r="B87" i="14"/>
  <c r="E87" i="14" l="1"/>
  <c r="D16" i="14"/>
  <c r="D99" i="14" l="1"/>
  <c r="E16" i="36" l="1"/>
  <c r="F44" i="43" l="1"/>
  <c r="F45" i="43"/>
  <c r="F64" i="43"/>
  <c r="F29" i="43"/>
  <c r="G98" i="39" l="1"/>
  <c r="I98" i="39" s="1"/>
  <c r="D29" i="9" l="1"/>
  <c r="D39" i="9" l="1"/>
  <c r="K45" i="41" l="1"/>
  <c r="L45" i="41"/>
  <c r="J45" i="41"/>
  <c r="M45" i="41" l="1"/>
  <c r="L44" i="41"/>
  <c r="K44" i="41"/>
  <c r="J44" i="41"/>
  <c r="E25" i="43"/>
  <c r="J42" i="41"/>
  <c r="J41" i="41"/>
  <c r="L40" i="41"/>
  <c r="K40" i="41"/>
  <c r="J40" i="41"/>
  <c r="L39" i="41"/>
  <c r="K39" i="41"/>
  <c r="J39" i="41"/>
  <c r="E75" i="43" l="1"/>
  <c r="M39" i="41"/>
  <c r="L42" i="41"/>
  <c r="K41" i="41"/>
  <c r="K42" i="41"/>
  <c r="D75" i="43"/>
  <c r="L41" i="41"/>
  <c r="K43" i="41"/>
  <c r="L43" i="41"/>
  <c r="J43" i="41"/>
  <c r="C75" i="43"/>
  <c r="F25" i="43"/>
  <c r="F13" i="43"/>
  <c r="F75" i="43" l="1"/>
  <c r="M42" i="41"/>
  <c r="M43" i="41"/>
  <c r="D40" i="40" l="1"/>
  <c r="D41" i="40" s="1"/>
  <c r="E40" i="40"/>
  <c r="E41" i="40" s="1"/>
  <c r="C40" i="40"/>
  <c r="G129" i="39"/>
  <c r="I129" i="39" s="1"/>
  <c r="F40" i="40" l="1"/>
  <c r="L33" i="41" l="1"/>
  <c r="J33" i="41" l="1"/>
  <c r="K33" i="41" l="1"/>
  <c r="M33" i="41" s="1"/>
  <c r="L25" i="41" l="1"/>
  <c r="M25" i="41" s="1"/>
  <c r="J25" i="41"/>
  <c r="E6" i="41"/>
  <c r="G194" i="41"/>
  <c r="F33" i="41"/>
  <c r="E33" i="41"/>
  <c r="F31" i="41"/>
  <c r="F9" i="41"/>
  <c r="F8" i="41"/>
  <c r="F10" i="41"/>
  <c r="C10" i="9"/>
  <c r="C37" i="9"/>
  <c r="C16" i="14"/>
  <c r="E9" i="41"/>
  <c r="D9" i="41"/>
  <c r="D10" i="13"/>
  <c r="L34" i="41"/>
  <c r="L35" i="41"/>
  <c r="L37" i="41"/>
  <c r="L60" i="41"/>
  <c r="B54" i="36"/>
  <c r="E8" i="41"/>
  <c r="B16" i="14"/>
  <c r="F34" i="41"/>
  <c r="D8" i="41"/>
  <c r="D10" i="41"/>
  <c r="F98" i="39"/>
  <c r="E10" i="41"/>
  <c r="B36" i="11"/>
  <c r="E60" i="41"/>
  <c r="B10" i="9"/>
  <c r="C10" i="13"/>
  <c r="L36" i="41"/>
  <c r="J12" i="41"/>
  <c r="J14" i="41"/>
  <c r="J37" i="41"/>
  <c r="D33" i="41"/>
  <c r="D34" i="41"/>
  <c r="B10" i="13"/>
  <c r="J36" i="41"/>
  <c r="J35" i="41"/>
  <c r="J34" i="41"/>
  <c r="B37" i="9"/>
  <c r="J32" i="41" s="1"/>
  <c r="D60" i="41"/>
  <c r="K60" i="41"/>
  <c r="E10" i="9" l="1"/>
  <c r="E10" i="13"/>
  <c r="E64" i="36"/>
  <c r="E16" i="14"/>
  <c r="M60" i="41"/>
  <c r="G60" i="41"/>
  <c r="G33" i="41"/>
  <c r="G10" i="41"/>
  <c r="G8" i="41"/>
  <c r="G9" i="41"/>
  <c r="C99" i="14"/>
  <c r="D31" i="41"/>
  <c r="C41" i="40"/>
  <c r="E31" i="41"/>
  <c r="G31" i="41" s="1"/>
  <c r="K36" i="41"/>
  <c r="M36" i="41" s="1"/>
  <c r="K32" i="41"/>
  <c r="E37" i="9"/>
  <c r="K34" i="41"/>
  <c r="M34" i="41" s="1"/>
  <c r="K12" i="41"/>
  <c r="L14" i="41"/>
  <c r="K37" i="41"/>
  <c r="M37" i="41" s="1"/>
  <c r="K35" i="41"/>
  <c r="M35" i="41" s="1"/>
  <c r="F6" i="41"/>
  <c r="G6" i="41" s="1"/>
  <c r="D6" i="41"/>
  <c r="E34" i="41"/>
  <c r="G34" i="41" s="1"/>
  <c r="C21" i="12"/>
  <c r="B99" i="14"/>
  <c r="C11" i="13"/>
  <c r="C29" i="9"/>
  <c r="B21" i="12"/>
  <c r="B28" i="12" s="1"/>
  <c r="J46" i="41"/>
  <c r="K46" i="41"/>
  <c r="J13" i="41"/>
  <c r="B11" i="13"/>
  <c r="J10" i="41" s="1"/>
  <c r="D11" i="13"/>
  <c r="D21" i="12"/>
  <c r="J38" i="41"/>
  <c r="L32" i="41"/>
  <c r="B29" i="9"/>
  <c r="K14" i="41"/>
  <c r="L12" i="41"/>
  <c r="E29" i="9" l="1"/>
  <c r="E11" i="13"/>
  <c r="E99" i="14"/>
  <c r="M14" i="41"/>
  <c r="E21" i="12"/>
  <c r="L38" i="41"/>
  <c r="M32" i="41"/>
  <c r="M12" i="41"/>
  <c r="B100" i="14"/>
  <c r="J11" i="41" s="1"/>
  <c r="D28" i="12"/>
  <c r="C100" i="14"/>
  <c r="K10" i="41"/>
  <c r="K9" i="41"/>
  <c r="K38" i="41"/>
  <c r="K47" i="41" s="1"/>
  <c r="K6" i="41"/>
  <c r="C28" i="12"/>
  <c r="J9" i="41"/>
  <c r="C18" i="13"/>
  <c r="C39" i="9"/>
  <c r="D100" i="14"/>
  <c r="L10" i="41"/>
  <c r="L9" i="41"/>
  <c r="B18" i="13"/>
  <c r="D18" i="13"/>
  <c r="J47" i="41"/>
  <c r="D32" i="41"/>
  <c r="D47" i="41" s="1"/>
  <c r="J8" i="41"/>
  <c r="B43" i="11"/>
  <c r="L6" i="41"/>
  <c r="J6" i="41"/>
  <c r="B39" i="9"/>
  <c r="L46" i="41"/>
  <c r="M46" i="41" s="1"/>
  <c r="E47" i="36" l="1"/>
  <c r="E36" i="11"/>
  <c r="E28" i="12"/>
  <c r="E100" i="14"/>
  <c r="E18" i="13"/>
  <c r="E20" i="36"/>
  <c r="M6" i="41"/>
  <c r="B109" i="14"/>
  <c r="M10" i="41"/>
  <c r="M9" i="41"/>
  <c r="M38" i="41"/>
  <c r="L8" i="41"/>
  <c r="K11" i="41"/>
  <c r="C109" i="14"/>
  <c r="C43" i="11"/>
  <c r="K8" i="41"/>
  <c r="E39" i="9"/>
  <c r="L11" i="41"/>
  <c r="K13" i="41"/>
  <c r="D109" i="14"/>
  <c r="D43" i="11"/>
  <c r="L47" i="41"/>
  <c r="M47" i="41" s="1"/>
  <c r="E43" i="11" l="1"/>
  <c r="E109" i="14"/>
  <c r="M8" i="41"/>
  <c r="M11" i="41"/>
  <c r="E32" i="41" l="1"/>
  <c r="E47" i="41" l="1"/>
  <c r="L13" i="41" l="1"/>
  <c r="M13" i="41" s="1"/>
  <c r="F19" i="39" l="1"/>
  <c r="G19" i="39"/>
  <c r="G31" i="39" s="1"/>
  <c r="F31" i="39" l="1"/>
  <c r="F35" i="39" s="1"/>
  <c r="F49" i="39" s="1"/>
  <c r="G35" i="39"/>
  <c r="G49" i="39" s="1"/>
  <c r="G130" i="39" s="1"/>
  <c r="I31" i="39"/>
  <c r="I19" i="39"/>
  <c r="D7" i="41" l="1"/>
  <c r="D26" i="41" s="1"/>
  <c r="D63" i="41" s="1"/>
  <c r="F130" i="39"/>
  <c r="I35" i="39"/>
  <c r="E7" i="41"/>
  <c r="E26" i="41" s="1"/>
  <c r="E63" i="41" s="1"/>
  <c r="I49" i="39"/>
  <c r="F7" i="41" l="1"/>
  <c r="G7" i="41" s="1"/>
  <c r="I130" i="39" l="1"/>
  <c r="F41" i="40"/>
  <c r="F13" i="40"/>
  <c r="F26" i="41"/>
  <c r="G26" i="41" s="1"/>
  <c r="F32" i="41"/>
  <c r="G32" i="41" s="1"/>
  <c r="F47" i="41" l="1"/>
  <c r="G47" i="41" s="1"/>
  <c r="F63" i="41" l="1"/>
  <c r="G63" i="41" l="1"/>
  <c r="B65" i="36" l="1"/>
  <c r="B66" i="36" s="1"/>
  <c r="B67" i="36" s="1"/>
  <c r="J7" i="41" l="1"/>
  <c r="J26" i="41" s="1"/>
  <c r="J63" i="41" s="1"/>
  <c r="B79" i="36"/>
  <c r="C65" i="36"/>
  <c r="C66" i="36" s="1"/>
  <c r="C67" i="36" s="1"/>
  <c r="C79" i="36" l="1"/>
  <c r="K7" i="41"/>
  <c r="K26" i="41" s="1"/>
  <c r="K63" i="41" l="1"/>
  <c r="E60" i="36"/>
  <c r="D65" i="36"/>
  <c r="E65" i="36" l="1"/>
  <c r="D66" i="36"/>
  <c r="D67" i="36" s="1"/>
  <c r="E66" i="36" l="1"/>
  <c r="D79" i="36"/>
  <c r="L7" i="41"/>
  <c r="E67" i="36"/>
  <c r="L26" i="41" l="1"/>
  <c r="M26" i="41" s="1"/>
  <c r="M7" i="41"/>
  <c r="E79" i="36"/>
  <c r="L63" i="41" l="1"/>
  <c r="M63" i="41" l="1"/>
</calcChain>
</file>

<file path=xl/sharedStrings.xml><?xml version="1.0" encoding="utf-8"?>
<sst xmlns="http://schemas.openxmlformats.org/spreadsheetml/2006/main" count="2512" uniqueCount="1322">
  <si>
    <t>FELHALMOZÁSI CÉLÚ ÁTVETT PÉNZESZKÖZÖK ÖSSZESEN</t>
  </si>
  <si>
    <t>Arany János ösztöndíj</t>
  </si>
  <si>
    <t>Savaria Múzeum összesen</t>
  </si>
  <si>
    <t>Capella Savaria</t>
  </si>
  <si>
    <t>Ferrum Színházi Társulat</t>
  </si>
  <si>
    <t>Lakás bérleti díj támogatása</t>
  </si>
  <si>
    <t>Parkolásgazdálkodási kiadás</t>
  </si>
  <si>
    <t>Áfa befizetés (saját bevételből)</t>
  </si>
  <si>
    <t>Intézményi vagyonbiztosítások</t>
  </si>
  <si>
    <t>Oktatási intézmények összesen:</t>
  </si>
  <si>
    <t xml:space="preserve">Oktatási ágazat </t>
  </si>
  <si>
    <t>Helyi iparűzési adó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</si>
  <si>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</si>
  <si>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</si>
  <si>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</si>
  <si>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</si>
  <si>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</si>
  <si>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</si>
  <si>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</si>
  <si>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</si>
  <si>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</si>
  <si>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</si>
  <si>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</si>
  <si>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</si>
  <si>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</si>
  <si>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</si>
  <si>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</si>
  <si>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</si>
  <si>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</si>
  <si>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</si>
  <si>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</si>
  <si>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</si>
  <si>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</si>
  <si>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</si>
  <si>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</si>
  <si>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</si>
  <si>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 xml:space="preserve">     Beruházások  összesen</t>
  </si>
  <si>
    <t>Hézagkiöntés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</si>
  <si>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</si>
  <si>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</si>
  <si>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</si>
  <si>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</si>
  <si>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</si>
  <si>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</si>
  <si>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</si>
  <si>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</si>
  <si>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</si>
  <si>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</si>
  <si>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</si>
  <si>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</si>
  <si>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</si>
  <si>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</si>
  <si>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</si>
  <si>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</si>
  <si>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</si>
  <si>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Közterület foglalás</t>
  </si>
  <si>
    <t>Egyéb feladatok</t>
  </si>
  <si>
    <t>Burkolati jelek festése</t>
  </si>
  <si>
    <t>Posta költség</t>
  </si>
  <si>
    <t>Egyesített Bölcsődei Intézmény</t>
  </si>
  <si>
    <t>Vásárcsarnok</t>
  </si>
  <si>
    <t>Helyiségek és lakások bérleti díja</t>
  </si>
  <si>
    <t>Földhaszonbérlet</t>
  </si>
  <si>
    <t>Egészség-hét</t>
  </si>
  <si>
    <t>Segély önkormányzati támogatásból</t>
  </si>
  <si>
    <t>Szociális ágazat</t>
  </si>
  <si>
    <t>Weöres Sándor Színház Nonprofit Kft. összesen</t>
  </si>
  <si>
    <t>Egészségügyi civil szervezetek támogatása</t>
  </si>
  <si>
    <t>Óvodák</t>
  </si>
  <si>
    <t>Finanszírozási műveletek</t>
  </si>
  <si>
    <t>Finanszírozási műveletek összesen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</si>
  <si>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</si>
  <si>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</si>
  <si>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</si>
  <si>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</si>
  <si>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</si>
  <si>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</si>
  <si>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</si>
  <si>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</si>
  <si>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Önkormányzati konferenciák, rendezvények, fogadások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</si>
  <si>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</si>
  <si>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</si>
  <si>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</si>
  <si>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</si>
  <si>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</si>
  <si>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</si>
  <si>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</si>
  <si>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</si>
  <si>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</si>
  <si>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</si>
  <si>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</si>
  <si>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</si>
  <si>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</si>
  <si>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</si>
  <si>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</si>
  <si>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</si>
  <si>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</si>
  <si>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</si>
  <si>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</si>
  <si>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</si>
  <si>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</si>
  <si>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</si>
  <si>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</si>
  <si>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</si>
  <si>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</si>
  <si>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</si>
  <si>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</si>
  <si>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</si>
  <si>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</si>
  <si>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</si>
  <si>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Gyöngyöshermán-Szentkirályi Polgári Kör</t>
  </si>
  <si>
    <t>Herényi Kulturális és Sportegyesület</t>
  </si>
  <si>
    <t>Petőfi Telepért Egyesület</t>
  </si>
  <si>
    <t>Könyvvizsgálói költség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</si>
  <si>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</si>
  <si>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</si>
  <si>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</si>
  <si>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</si>
  <si>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</si>
  <si>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</si>
  <si>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</si>
  <si>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</si>
  <si>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</si>
  <si>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</si>
  <si>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 xml:space="preserve">Önkormányzati bérlakások felújítása </t>
  </si>
  <si>
    <t>Önkormányzati bevételekkel fedezett kiadások</t>
  </si>
  <si>
    <t>Szociális hét</t>
  </si>
  <si>
    <t>Működési kiadások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</si>
  <si>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</si>
  <si>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</si>
  <si>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</si>
  <si>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</si>
  <si>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</si>
  <si>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</si>
  <si>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</si>
  <si>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</si>
  <si>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</si>
  <si>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</si>
  <si>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</si>
  <si>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</si>
  <si>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</si>
  <si>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</si>
  <si>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</si>
  <si>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</si>
  <si>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</si>
  <si>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</si>
  <si>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</si>
  <si>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</si>
  <si>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</si>
  <si>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</si>
  <si>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</si>
  <si>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</si>
  <si>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</si>
  <si>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</si>
  <si>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</si>
  <si>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</si>
  <si>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</si>
  <si>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</si>
  <si>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</si>
  <si>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</si>
  <si>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</si>
  <si>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</si>
  <si>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</si>
  <si>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</si>
  <si>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</si>
  <si>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Rendőrség támogatása</t>
  </si>
  <si>
    <t>Szökőkutak előre nem látható hibaelhárítása</t>
  </si>
  <si>
    <t xml:space="preserve"> Működési célú kiadások összesen :</t>
  </si>
  <si>
    <t>Sport</t>
  </si>
  <si>
    <t>eredeti ei.</t>
  </si>
  <si>
    <t>Helyreállítások (teljes pályaszerkezet csere)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</si>
  <si>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</si>
  <si>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</si>
  <si>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</si>
  <si>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</si>
  <si>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</si>
  <si>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</si>
  <si>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</si>
  <si>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</si>
  <si>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</si>
  <si>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</si>
  <si>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</si>
  <si>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</si>
  <si>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</si>
  <si>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</si>
  <si>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</si>
  <si>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</si>
  <si>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</si>
  <si>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</si>
  <si>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</si>
  <si>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</si>
  <si>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</si>
  <si>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</si>
  <si>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</si>
  <si>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</si>
  <si>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</si>
  <si>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</si>
  <si>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</si>
  <si>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</si>
  <si>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</si>
  <si>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</si>
  <si>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</si>
  <si>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Nemzetiségi Önkormányzatok támogatása</t>
  </si>
  <si>
    <t xml:space="preserve">Polgárőr szervezetek támogatása </t>
  </si>
  <si>
    <t>Ungaresca Táncegyüttes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</si>
  <si>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</si>
  <si>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</si>
  <si>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</si>
  <si>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</si>
  <si>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</si>
  <si>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</si>
  <si>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</si>
  <si>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</si>
  <si>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</si>
  <si>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</si>
  <si>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</si>
  <si>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</si>
  <si>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</si>
  <si>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 xml:space="preserve">Savaria Múzeum </t>
  </si>
  <si>
    <t xml:space="preserve">Berzsenyi Dániel könyvtár </t>
  </si>
  <si>
    <t>Zárt csapadék csatorna fenntartása</t>
  </si>
  <si>
    <t>MŰKÖDÉSI BEVÉTELEK ÖSSZESEN</t>
  </si>
  <si>
    <t>FELHALMOZÁSI BEVÉTELEK</t>
  </si>
  <si>
    <t>FELHALMOZÁSI BEVÉTELEK ÖSSZESEN</t>
  </si>
  <si>
    <t xml:space="preserve"> MŰKÖDÉSI BEVÉTELEK</t>
  </si>
  <si>
    <t>FELHALMZÁSI CÉLÚ TÁMOGATÁSOK ÁLLAMHÁZTARTÁSON BELÜLRŐL ÖSSZESEN</t>
  </si>
  <si>
    <t>FELHALMOZÁSI CÉLÚ ÁTVETT PÉNZESZKÖZÖK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</si>
  <si>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</si>
  <si>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</si>
  <si>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</si>
  <si>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Szombathelyi Egészségügyi és Kulturális Intézmények GESZ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</si>
  <si>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</si>
  <si>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</si>
  <si>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</si>
  <si>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</si>
  <si>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</si>
  <si>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</si>
  <si>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</si>
  <si>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</si>
  <si>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SNI gyermekek (Óvoda) szakszolgálati ellátása</t>
  </si>
  <si>
    <t xml:space="preserve">Önkormányzati oktatási kiadások összesen </t>
  </si>
  <si>
    <t xml:space="preserve">Kulturális kitüntetés díja, Év Civil Szervezete díja …. </t>
  </si>
  <si>
    <t>Szolidaritási adó</t>
  </si>
  <si>
    <t>Szent Márton Esélyegyenlőségi Támogatási Program</t>
  </si>
  <si>
    <t>Vasi Honvéd Bajtársi Egyesület támogatása</t>
  </si>
  <si>
    <t>Illegális hulladéklerakás</t>
  </si>
  <si>
    <t>Út-híd fenntartási kiadások</t>
  </si>
  <si>
    <t>Központi támogatás elszámolás alapján</t>
  </si>
  <si>
    <t>Kulturális ágazat, média kiadásai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</si>
  <si>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</si>
  <si>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</si>
  <si>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</si>
  <si>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Hátrányos Helyzetű Roma Fiatalokat Támogató Közhasznú Egyesület támogatása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</si>
  <si>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</si>
  <si>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</si>
  <si>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</si>
  <si>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</si>
  <si>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Intézményi felújítások</t>
  </si>
  <si>
    <t>Működési célú maradvány - projektekhez</t>
  </si>
  <si>
    <t xml:space="preserve">Felhalmozási célú maradvány </t>
  </si>
  <si>
    <t>Felhalmozási célú maradvány - projektekhez</t>
  </si>
  <si>
    <t>HÁROFIT Közhasznú Egyesület - közfoglalkoztatás támogatása</t>
  </si>
  <si>
    <t>Egységes ügyiratkezelő szoftver az önkormányzat által működtetett intézményekben</t>
  </si>
  <si>
    <t>SZMJV Diákönkormányzat - rendezvények, programok, támogatások, egyéb kiadások</t>
  </si>
  <si>
    <t>Önkormányzati, egyéb más ágazathoz nem sorolható kiadások összesen</t>
  </si>
  <si>
    <t>Savaria Városfejlesztési Nonprofit Kft. támogatása</t>
  </si>
  <si>
    <t>Csaba úti felüljáró fenntartása, karbantartása</t>
  </si>
  <si>
    <t>FELHALMOZÁSI CÉLÚ BEVÉTELEK MINDÖSSZESEN</t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</si>
  <si>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</si>
  <si>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</si>
  <si>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</si>
  <si>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</si>
  <si>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</si>
  <si>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Óvoda Intézményi karbantartás</t>
  </si>
  <si>
    <t>Kátyúzás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</si>
  <si>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</si>
  <si>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</si>
  <si>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</si>
  <si>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</si>
  <si>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</si>
  <si>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</si>
  <si>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</si>
  <si>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</si>
  <si>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</si>
  <si>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ÁGAZAT KIADÁSAI MINDÖSSZESEN</t>
  </si>
  <si>
    <t>EGÉSZSÉGÜGYI MŰKÖDÉSI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</si>
  <si>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</si>
  <si>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</si>
  <si>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</si>
  <si>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</si>
  <si>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</si>
  <si>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</si>
  <si>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</si>
  <si>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</si>
  <si>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</si>
  <si>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</si>
  <si>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</si>
  <si>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</si>
  <si>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</si>
  <si>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</si>
  <si>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</si>
  <si>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</si>
  <si>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</si>
  <si>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Támogatások elszámolása - ÁH-on belül</t>
  </si>
  <si>
    <t>Egyéb pénzügyi műveletek bevétele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</si>
  <si>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</si>
  <si>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</si>
  <si>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</si>
  <si>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</si>
  <si>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</si>
  <si>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</si>
  <si>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</si>
  <si>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</si>
  <si>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</si>
  <si>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</si>
  <si>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</si>
  <si>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</si>
  <si>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</si>
  <si>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</si>
  <si>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>Bűnmegelőzési és katasztrófavédelmi kiadások</t>
  </si>
  <si>
    <t>ELTE támogatás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</si>
  <si>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</si>
  <si>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</si>
  <si>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</si>
  <si>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</si>
  <si>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Padkarendezés</t>
  </si>
  <si>
    <t>Szegélyek javítása, akadálymentesítés</t>
  </si>
  <si>
    <t>Finanszírozási kiadás - közvilágítás pénzügyi lízing tőke</t>
  </si>
  <si>
    <t>Tartalék - Vásárcsarnok GDPR költség</t>
  </si>
  <si>
    <t>Önkormányzati fenntartású Weöres Sándor Színház közös működtetési támogatása</t>
  </si>
  <si>
    <t>Önkormányzati fenntartású Mesebolt Bábszínház közös működtetési támogatása</t>
  </si>
  <si>
    <t>Köztemetés költségeinek megtérítése más önkormányzatoktól</t>
  </si>
  <si>
    <t>Közösségi Bérlakás Rendszer lakbér bevétel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</si>
  <si>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</si>
  <si>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</si>
  <si>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</si>
  <si>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</si>
  <si>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</si>
  <si>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 xml:space="preserve">Felhalmozási tartalék </t>
  </si>
  <si>
    <t>Felhalmozási tartalék összesen</t>
  </si>
  <si>
    <t>Előző évi maradvány terhére teljesíthető felhalmozási célú projekt kiadások</t>
  </si>
  <si>
    <t>Önkormányzati nagyrendezvények</t>
  </si>
  <si>
    <t>Sport nagyrendezvények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</si>
  <si>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</si>
  <si>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</si>
  <si>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</si>
  <si>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</si>
  <si>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</si>
  <si>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</si>
  <si>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Savaria Városfejlesztési Kft. - tagi kölcsön visszatérülése</t>
  </si>
  <si>
    <t xml:space="preserve">KISZ Lakótelepért Egyesület </t>
  </si>
  <si>
    <t>Savaria Történelmi Karnevál Közhasznú Közalapítvány működési támogatása</t>
  </si>
  <si>
    <t>ÖSSZESEN (I.+II.+III.+IV.+V.)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</si>
  <si>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</si>
  <si>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</si>
  <si>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</si>
  <si>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</si>
  <si>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Biztosító térítése egyéb kártérítés, kötbér</t>
  </si>
  <si>
    <t>Szent Márton Smartcity város és portálrendszer üzemeltetése</t>
  </si>
  <si>
    <t>Ipari park tudományos technológiai parkká minősítés</t>
  </si>
  <si>
    <t>JUSTNature projekt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</si>
  <si>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</si>
  <si>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</si>
  <si>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Könyvtári érdekeltségnövelő támogatás</t>
  </si>
  <si>
    <t>Termőföld bérbeadásából származó jövedelemadó</t>
  </si>
  <si>
    <t>Kéményseprő ipari közszolgáltatási támogatás visszafizetése</t>
  </si>
  <si>
    <t>KÖLTSÉGVETÉSI MŰKÖDÉSI BEVÉTELEK MINDÖSSZESEN</t>
  </si>
  <si>
    <t>Szombathelyi Sportközpont és Sportiskola Nonprofit Kft. támogatása</t>
  </si>
  <si>
    <t>TOP-6.1.5-2019-00002 Ferenczy u. hiányzó szakaszának építése</t>
  </si>
  <si>
    <t>Tartalék - gyermek és szociális étkeztetés</t>
  </si>
  <si>
    <t>Települési önkormányzatok kulturális feladatainak támogatása</t>
  </si>
  <si>
    <t>Települési önkormányzatok kulturális feladatainak támogatási összesen</t>
  </si>
  <si>
    <t>Hemo épületének bérbeadása</t>
  </si>
  <si>
    <t>Vas megyei Szakképzpsi Centrum működési hozzájárulás</t>
  </si>
  <si>
    <t>Köznevelési feladatellátásra átadott vagyon ellenőrzése</t>
  </si>
  <si>
    <t>Óvodai ellátó rendszerben prognotizált munkaerő-hiány kezelése</t>
  </si>
  <si>
    <t>Egyéb kulturális rendezvények</t>
  </si>
  <si>
    <t>Aktív időskor Szombathelyen program</t>
  </si>
  <si>
    <t>Nemzetközi kapcsolatok</t>
  </si>
  <si>
    <t>Tüzoltó nap - "Tüzoltás-mentés" Alapítvány támogatása</t>
  </si>
  <si>
    <t>Akadálymentesítési koncepció - szakmérnöki vélemények</t>
  </si>
  <si>
    <t>Citylight hirdetőtáblák karbantartása, javítása</t>
  </si>
  <si>
    <t>Vásárok, rendezvények, karácsonyi díszkivilágítás</t>
  </si>
  <si>
    <t>Állatvédők Vasi Egyesülete működési támogatás</t>
  </si>
  <si>
    <t>Szombathelyi Haladás Labdarúgó és Sportszolgáltató Kft.</t>
  </si>
  <si>
    <t>Nemzetközi Diákjátékok</t>
  </si>
  <si>
    <t>Vásárcsarnok - légkondicionálás</t>
  </si>
  <si>
    <t>Analóg térfigyelő kamerák cseréje</t>
  </si>
  <si>
    <t>PRENOR Kft - tagi kölcsön visszatérülése</t>
  </si>
  <si>
    <t>Továbbszámlázott költségek megtérítése</t>
  </si>
  <si>
    <t>TOP-6.1.5-2019-00002 Ferenczy u. hiányzó szakaszának építése - hozzájárulás</t>
  </si>
  <si>
    <t>Fáklyavivők Egyesülete támogatás - Alkotótábor megrendezése</t>
  </si>
  <si>
    <t>Tartalék - iparűzési adóelőleg visszafizetés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</si>
  <si>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</si>
  <si>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</si>
  <si>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</si>
  <si>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iSi Automotive Hungary Kft. támogatása a 3H jelű autóbusz járat működtetéséhez</t>
  </si>
  <si>
    <t>Veszélyhelyzet ideje alatt a szomszédos országban fennálló humanitárius katasztrófára tekintettel érkező személyek elhelyezésének támogatása (központi támogatásból)</t>
  </si>
  <si>
    <t>Önkéntes Stratégia Végrehajtása</t>
  </si>
  <si>
    <t>Fenntarthatósági és Klímapolitikai célok megvalósulása</t>
  </si>
  <si>
    <t>RRF-1.1.2-21-2021-0007 Demográfiai és köznevelési bölcsődei nevelés fejlesztése - Új bölcsőde építése Szombathely Szentkirályi városrészen</t>
  </si>
  <si>
    <t>Szombathelyi Nemzetiségi Nap</t>
  </si>
  <si>
    <t>Bűnmegelőzési és katasztrófavédelmi kiadások; egyéb kiadások, támogatások</t>
  </si>
  <si>
    <t>Településrendezési terv felülvizsgálata</t>
  </si>
  <si>
    <t>Szombathelyi Szabadidősport rendezvények</t>
  </si>
  <si>
    <t>FALCO KC Kft. Támogatása</t>
  </si>
  <si>
    <t>Önkormányzati sport kitüntetések</t>
  </si>
  <si>
    <t>Szombathelyi Pingvinek Jégkorong Klub támogatása</t>
  </si>
  <si>
    <t>ITM támogatás - Zanati kerékpárút fejlesztése - hozzájárulás</t>
  </si>
  <si>
    <t>Csapadékvíz elvezetés (üzemeltetés)</t>
  </si>
  <si>
    <t>Savaria Karnevál megrendezése, kulturális rendezvények, fesztiválok megrendezése (Savaria Turizmus Nkft., egyéb kiadások, stb.)</t>
  </si>
  <si>
    <t xml:space="preserve">Söpte Önkormányzatának járó juttatás SZMJV önkormányzati terület értékesítés után </t>
  </si>
  <si>
    <t>Északi iparterület - közművesítések finanszírozása, fejlesztések finanszírozása, tanulmányterv készítése</t>
  </si>
  <si>
    <t xml:space="preserve">Savaria Szimfonikus Zenekar </t>
  </si>
  <si>
    <t>Berzsenyi Dániel Könyvtár</t>
  </si>
  <si>
    <t>Egyedi önkormányzati informatikai fejlesztések</t>
  </si>
  <si>
    <t>VASIVÍZ ZRT. - Uszoda fenntartás - központi támogatásból</t>
  </si>
  <si>
    <t xml:space="preserve">Körforgalom (Markusovszky u. - Sugár u. - Horváth Boldizsár krt. - Dr. István Lajos krt.) </t>
  </si>
  <si>
    <t xml:space="preserve">Kormányzati támogatás </t>
  </si>
  <si>
    <t>Tartalék -kulturális bérpótlék év közbeni biztosítására központi támogatásból</t>
  </si>
  <si>
    <t>Tartalék - gyermek és szociális étkeztetés II.félév kormányzati támogatás terhére</t>
  </si>
  <si>
    <t>Fonyódi gyermektábor</t>
  </si>
  <si>
    <t>Könyvkiadás</t>
  </si>
  <si>
    <t>Savaria Szimfonikus Zenekar összesen</t>
  </si>
  <si>
    <t>Berzsenyi Dániel Könyvtár összesen</t>
  </si>
  <si>
    <t>Nemzeti Tudósképző Akadémia program</t>
  </si>
  <si>
    <t>SZOVA, Szompark, AGORA, Turizmus Kft, Sportközpont Kft közös raktározás</t>
  </si>
  <si>
    <t xml:space="preserve">Vasi Tekesportért Alapítvány </t>
  </si>
  <si>
    <t>Csatorna fedél javítások</t>
  </si>
  <si>
    <t>Laktanya terület út építési kötelezettség</t>
  </si>
  <si>
    <t>HÁROFIT Közhasznú Egyesület - Családok húsvéti ajándékozása</t>
  </si>
  <si>
    <t>Stromfeld lakótelepen parkoló építés</t>
  </si>
  <si>
    <t>Egyéb rendezvények</t>
  </si>
  <si>
    <t>TOP Plusz 1.3.1.-00001 Fenntartható városfejlesztés</t>
  </si>
  <si>
    <t>Bérlakás felújítás</t>
  </si>
  <si>
    <t>Hajdú utca burkolat javítás</t>
  </si>
  <si>
    <t>Körforgalom (Markusovszky u. - Sugár u. - Horváth Boldizsár krt. - Dr. István Lajos krt.) fordított áfa</t>
  </si>
  <si>
    <t>Derkovits lakótelepen parkoló kialakítása</t>
  </si>
  <si>
    <t>Egyéb közhatalmi bevételek</t>
  </si>
  <si>
    <t>Továbbszámlázandó - Megvalósíthatósági tan.kidolg.-Zöld hidrogénen alapuló ökoszisztémafejl.Szhelyen</t>
  </si>
  <si>
    <t>EIT Urban Mobility TICER pályázat</t>
  </si>
  <si>
    <t>Áfa visszaigénylés - Zöld hidrogénen alapuló ökoszisztéma fejlesztése Szhelyen</t>
  </si>
  <si>
    <t>INTERREG Europe OD4GROWTH pályázat</t>
  </si>
  <si>
    <t>Vas Vármegyei Markusovszky Egyetemi Oktatókórház (parkoló bérleti díj támogatás)</t>
  </si>
  <si>
    <t>Erdő és vadgazdálkodási költség</t>
  </si>
  <si>
    <t>Rumi Rajki István utca burkolat felújítására</t>
  </si>
  <si>
    <t>Zöld hidrogénen alapuló ökoszisztéma fejlesztése Szhelyen</t>
  </si>
  <si>
    <t>Északi iparterület - közművesítések finanszírozása, fejlesztések finanszírozása, tanulmányterv készítése - fordított áfa</t>
  </si>
  <si>
    <t>JUSTNature projekt - fordított áfa</t>
  </si>
  <si>
    <t>Önkormányzati pavilonok tárolása, felújítása, karbantartása</t>
  </si>
  <si>
    <t>Egyéb finanszírozási célú bevétel a 2024. évi költségvetési támogatási előleghez</t>
  </si>
  <si>
    <t>ÖSSZESEN</t>
  </si>
  <si>
    <t>Parkolók kialakítása, javítása (Éhen Gyula téri, Szürcsapó u. 6-8. mögötti, Barátság u. 17-19. melletti, Bartók Béla krt. 40. előtti)</t>
  </si>
  <si>
    <t>2024. évi útfelújítási program</t>
  </si>
  <si>
    <t>VASIVÍZ ZRT: - elsődleges tevékenység támogatása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</si>
  <si>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</si>
  <si>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</si>
  <si>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Kulturális ágazat, média</t>
  </si>
  <si>
    <t>Felhalmozási tartalék</t>
  </si>
  <si>
    <t>Egyéb finanszírozási célú kiadás - 2024. évi költségvetési támogatási előleg</t>
  </si>
  <si>
    <t>Támogatások elszámolása államháztartáson kívülről</t>
  </si>
  <si>
    <t>Adventi vásár díszkivilágítás támogatása</t>
  </si>
  <si>
    <t>Országos tanulmányi versenyeken eredményesen szereplő diákok és tanáraik  jutalmazása</t>
  </si>
  <si>
    <t>Kalandváros óvodai és iskolai csoportok által történő szervezett látogatásának támogatása</t>
  </si>
  <si>
    <t>Zanati Kulturális Egyesület</t>
  </si>
  <si>
    <t>Derkovits Városrészért Egyesület</t>
  </si>
  <si>
    <t xml:space="preserve">Identitás program </t>
  </si>
  <si>
    <t xml:space="preserve">Mesebolt Bábszínház </t>
  </si>
  <si>
    <t>Fogyatékkal Élőket és Hajléktalanokat Ellátó Nkft. támogatása</t>
  </si>
  <si>
    <t>Fogyatékkal Élőket és Hajléktalanokat Ellátó Nkft. (Tűzifa vásárlás)</t>
  </si>
  <si>
    <t>HÁROFIT Közhasznú Egyesület - Rászoruló családoknak nyútott tanévkezdési támogatás</t>
  </si>
  <si>
    <t>Alpokalja Nagycsaládos Egyesület Szombathely részére támogatás</t>
  </si>
  <si>
    <t>Jelzőlámpák üzemeltetése és cseréje</t>
  </si>
  <si>
    <t>Közvilágítási elemek karbantartása, kiegészítése</t>
  </si>
  <si>
    <t xml:space="preserve">1000 fa program </t>
  </si>
  <si>
    <t xml:space="preserve">Közvilágítás pénügyi lízing - kamat </t>
  </si>
  <si>
    <t>Horvát nemzetiségi nap támogatás</t>
  </si>
  <si>
    <t>Közszolgáltatási szerződés helyi közlekedés</t>
  </si>
  <si>
    <t>Nyugdíjas Bérlők Háza - használatba vételi díj visszafizetése</t>
  </si>
  <si>
    <t>VOLÁNBUSZ Zrt.megállapodás alapján helyközi autóbuszjáratok helyi tarifával történő igénybevétele - Szombathely, Petőfi telep</t>
  </si>
  <si>
    <t>Vas Vármegyei Katasztrófavédelmi Igazgatóság - Tűzoltóság támogatása</t>
  </si>
  <si>
    <t>Térfigyelő kamerarendszer üzemeltetése és  adatátviteli hálózat üzemeltetés</t>
  </si>
  <si>
    <t>Szombathelyi Kézilabda Klub és Akadémia támogatása</t>
  </si>
  <si>
    <t>Szombathelyi Szabadidősport Szövetség támogatása - Városi Kispályás Labdarúgó Bajnokság, Városi Tekebajnokság, Nyári lábtenisz bajnokság</t>
  </si>
  <si>
    <t>SPORT ÁGAZAT KIADÁSAI MINDÖSSZESEN</t>
  </si>
  <si>
    <t>KözvilágÍtás díja</t>
  </si>
  <si>
    <t>Települési hulladékkezelés és köztisztasági tevékenység, és hó eltakarítás</t>
  </si>
  <si>
    <t>Víz használati dij</t>
  </si>
  <si>
    <t>Közösségi közlekedés (buszmegállók kialakítása, leszálló szigetek helyreállítása, kialakítás)</t>
  </si>
  <si>
    <t>Nyugdíjas  Bérlők Háza befizetés</t>
  </si>
  <si>
    <t>Erdei iskola utcai csapadékcsatorna építése</t>
  </si>
  <si>
    <t xml:space="preserve">Ernuszt kripta felújításához felmérés és értékleltár készítés </t>
  </si>
  <si>
    <t>Évközi tervezések, útfelújítás tervezések, egyéb tervezések</t>
  </si>
  <si>
    <t>MVP ügyleti kamatfizetési kötelezettség</t>
  </si>
  <si>
    <t>ÖNKORMÁNYZATI FELHALMOZÁSI KIADÁSOK MINDÖSSZESEN</t>
  </si>
  <si>
    <t>Víznyelők tisztítása</t>
  </si>
  <si>
    <t>2024.évi</t>
  </si>
  <si>
    <t>Tartalék - közétkeztetési rezsi kulcs emelésből adódó többletkiadások fedezetére</t>
  </si>
  <si>
    <t>Működési célú maradvány - 2024. évi útfelújítási programhoz</t>
  </si>
  <si>
    <t>Felhalmozási célú maradvány - 2024. évi útfelújítási programhoz</t>
  </si>
  <si>
    <t>2024. évi energiakötlségekre</t>
  </si>
  <si>
    <t>City-to-city Exchanges (Városok közötti csereprogram) projekt</t>
  </si>
  <si>
    <t>Ingatlancseréből származó bevétel</t>
  </si>
  <si>
    <t xml:space="preserve">Szombathelyi Szépítő Egyesület támogatása </t>
  </si>
  <si>
    <t>Japán nap támogatása</t>
  </si>
  <si>
    <t>Táncverseny</t>
  </si>
  <si>
    <t>Szociális térkép</t>
  </si>
  <si>
    <t>Alapellátás háziorvosai és fogorvosai részére rezsikompenzáció</t>
  </si>
  <si>
    <t>Sebész kongresszus</t>
  </si>
  <si>
    <t>Fekete István Állatvédő Egyesület támogatása</t>
  </si>
  <si>
    <t>Herényi Kulturális és Sportegyesület - 30 éves jubileumi év</t>
  </si>
  <si>
    <t>Ekata rendszer havi díj</t>
  </si>
  <si>
    <t>Önkéntes rendszer üzemeltetési díja</t>
  </si>
  <si>
    <t>VDKSZ  működtetés</t>
  </si>
  <si>
    <t>Szombathelypont működtetés</t>
  </si>
  <si>
    <t xml:space="preserve">City-to-City Exchanges (Városok közötti csereprogram) projekt </t>
  </si>
  <si>
    <t>Olimpikonok támogatása</t>
  </si>
  <si>
    <t>Vas Megyei Temetkezési Kft. Támogatása</t>
  </si>
  <si>
    <t>Ingatlancsere</t>
  </si>
  <si>
    <t>Költségvetési intézmények informatikai fejlesztése</t>
  </si>
  <si>
    <t>eKata vagyongazdálkodási rendszer intézményi kiterjesztés</t>
  </si>
  <si>
    <t xml:space="preserve">Just Climate projekt </t>
  </si>
  <si>
    <t>Just Climate projekt</t>
  </si>
  <si>
    <t>Olad Városrészért Egyesület</t>
  </si>
  <si>
    <t>Energiaközösség megvalósításának vizsgálata</t>
  </si>
  <si>
    <t>Szombathelyi Futóklub Szabadidő Sport Egyesület támogatása</t>
  </si>
  <si>
    <t>Árkádia Üzletház Társasház részére Dolgozók u.1/A előtt buszmegálló felújításához nyújtott támogatás</t>
  </si>
  <si>
    <t>Kukulló Kertbarátok Társasága részére külterületi utak burkolat kialakításához és karbantartásához nyújott támogatás</t>
  </si>
  <si>
    <t>Trafiboxok beszerzése, telepítése</t>
  </si>
  <si>
    <t>AGORA Savaria Kulturális és Médiaközpont Nkft. Támogatása</t>
  </si>
  <si>
    <t>Savaria Turizmus Nkft - támogatása és pályázati önrész</t>
  </si>
  <si>
    <t>2. Önkormányzati gazdasági társaságok összesen</t>
  </si>
  <si>
    <t>I. VÁROSI KULTURÁLIS INTÉZMÉNYEK ÉS ÖNYKORMÁNYZATI GAZDASÁGI TÁRSASÁGOK 
MINDÖSSZESEN (1+2)</t>
  </si>
  <si>
    <t>3. Kulturális és civil szervezetek támogatása összesen</t>
  </si>
  <si>
    <t>4. Kulturális és civil alap</t>
  </si>
  <si>
    <t>II. KULTURÁLIS ÉS CIVIL SZERVEZETEK TÁMOGATÁSA ÉS KULTURÁLIS ÉS CIVIL ALAP 
MINDÖSSZESEN (3+4)</t>
  </si>
  <si>
    <t>5. Városi nagyrendezvények</t>
  </si>
  <si>
    <t>6. Egyéb kulturális rendezvények, programok összesen</t>
  </si>
  <si>
    <t>III. KULTURÁLIS RENDEZVÉNYEK MINDÖSSZESEN (5+6)</t>
  </si>
  <si>
    <t>7. Egyéb kulturális szervezetek támogatása ÖSSZESEN</t>
  </si>
  <si>
    <t>8. Közhasznú információk támogatása összesen</t>
  </si>
  <si>
    <t>IV. EGYÉB KULTURÁLIS KIADÁSOK MINDÖSSZESEN (7+8)</t>
  </si>
  <si>
    <t>Vízközmű és szennyvízközmű beruházáshoz kapcsolódóan - gördülő fejlesztési tervmódosítás költségei</t>
  </si>
  <si>
    <t>Jégpince utca és Bartók B. krt. körforgalom fordított ÁFA</t>
  </si>
  <si>
    <t>Zanati városrész útjainak felújításához (Áfonya u., Eper u., Korpás u., Fenyő u.)terület vásárlás, járda felújítás, csapadékvíz szikkasztó medence átalakítása, vízjogi és üzemeltetési engedélyek stb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</si>
  <si>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</si>
  <si>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 xml:space="preserve">Nyugat-dunántúli Regionális Hulladékgazdálkodási Önkormányzati Társulástól támogatás </t>
  </si>
  <si>
    <t>Interreg CE Program - Green LaMiS projekt</t>
  </si>
  <si>
    <t>Pálos Károly Szociális Szolgáltató Központ és Gyermekjóléti Szolgálat</t>
  </si>
  <si>
    <t>Szombathelyi Egyesített Bölcsődei Intézmény</t>
  </si>
  <si>
    <t>Megyei Jogú Városok Szövetsége támogatás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</si>
  <si>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</si>
  <si>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</si>
  <si>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</si>
  <si>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Vadvirág utcai Polgárjogi Társaság támogatása - Vadvirág u. helyreállítása céljából</t>
  </si>
  <si>
    <t>PRENOR Kft. Tagi kölcsön, bérleti díj után járó kamatbevétel</t>
  </si>
  <si>
    <t>ELAMEN Zrt. részére támogatás biztosítása</t>
  </si>
  <si>
    <t>Projektek - önerő, hozzájárulás, előkészítés, egyéb beruházási feladatok</t>
  </si>
  <si>
    <t xml:space="preserve">Pedagógus kitüntetések </t>
  </si>
  <si>
    <t>Szalézi Rendház Szombathely támogatása (nyári napközis tábor)</t>
  </si>
  <si>
    <t>Prenor tagi kölcsön nyújtása</t>
  </si>
  <si>
    <t>Viktória FC támogatása</t>
  </si>
  <si>
    <t>Magyar-magyar közösségi tevékenységek támogatása - Közös értékek találkozása Vajdahunyadon projekt</t>
  </si>
  <si>
    <t>Háziorvosi életpálya modellhez kapcsolódó visszafizetés</t>
  </si>
  <si>
    <t>Kiszámlázott és befizetendő áfa bevétel (PRENOR Kft. Bérleti díj után)</t>
  </si>
  <si>
    <t>Árfolyam nyereség - JUSTNATURE projekthez kapcsolódóan</t>
  </si>
  <si>
    <t>Prenor Kft. bérleti díj megtérítése 2022-2023. évekre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</si>
  <si>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</si>
  <si>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</si>
  <si>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</si>
  <si>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>Szombathelyi Turisztikai és Testvérvárosi Egyesület</t>
  </si>
  <si>
    <t>Pécsi Tudományegyetem támogatása</t>
  </si>
  <si>
    <t>HVSE támogatása</t>
  </si>
  <si>
    <t>Parkolók kialakítása, javítása (Éhen Gyula téri, Szürcsapó u. 6-8. mögötti, Barátság u. 17-19. melletti, Bartók Béla krt. 40. előtti) - fordított áfa</t>
  </si>
  <si>
    <t>Szombathelyi Egészségügyi és Kulturális intézmények GESZ</t>
  </si>
  <si>
    <t>Képviselő testület tagjai és a bizottsági tagok jogszabály szerinti juttatásai</t>
  </si>
  <si>
    <t>Tömjénhegyi Utcai Úttársaság támogatása</t>
  </si>
  <si>
    <t>Egyéb finanszírozási célú bevétel a 2025. évi költségvetési támogatási előleghez</t>
  </si>
  <si>
    <t>Tartalék - a 2025. évi költségvetéshez</t>
  </si>
  <si>
    <t>Egyéb finanszírozási célú kiadás - 2025. évi költségvetési támogatási előleg</t>
  </si>
  <si>
    <t>Települési önkormányzatok kulturális feladatainak bérjellegű támogatása (bérfejlesztéshez) (682/2021.(XII.6.) korm.rend.)</t>
  </si>
  <si>
    <t>Energiaügyi Minisztérium - "Zöld óvoda" program támogatás</t>
  </si>
  <si>
    <t>Interreg CE Program - Green LaMiS projekt - hazai támogatás</t>
  </si>
  <si>
    <t>Egyéb különféle működési célú bevételek</t>
  </si>
  <si>
    <t>Interreg CE Program - Green LaMiS projekt - ERFA támogatás</t>
  </si>
  <si>
    <t>Szociális Szolgáltatók Közhasznú Egyesület részére támogatás (rászorulók karácsonyi ajándékozása)</t>
  </si>
  <si>
    <t xml:space="preserve">INTERREG Europe OD4GROWTH pályázat </t>
  </si>
  <si>
    <t>Halaldás 1919 Labdarúgó Kft. támogatása</t>
  </si>
  <si>
    <t>Egyéb finanszírozási célú kiadás - Lekötött bankbetét elhelyezése</t>
  </si>
  <si>
    <t>Egyéb finanszírozási célú bevétel - Lekötött bankbetét feloldása</t>
  </si>
  <si>
    <t>2025. év</t>
  </si>
  <si>
    <t>Joskar Ola Alapítvány</t>
  </si>
  <si>
    <t>VASIVÍZ ZRT. - Uszoda működési támogatás</t>
  </si>
  <si>
    <t>Szombathely Megyei Jogú Város Önkormányzata</t>
  </si>
  <si>
    <t>BEVÉTELEK</t>
  </si>
  <si>
    <t xml:space="preserve">Költségvetési </t>
  </si>
  <si>
    <t>Önkormányzat</t>
  </si>
  <si>
    <t>Mindösszesen</t>
  </si>
  <si>
    <t>KIADÁSOK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</si>
  <si>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</si>
  <si>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</si>
  <si>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</si>
  <si>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</si>
  <si>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</si>
  <si>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</si>
  <si>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</si>
  <si>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</si>
  <si>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</si>
  <si>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</si>
  <si>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</si>
  <si>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</si>
  <si>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</si>
  <si>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</si>
  <si>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</si>
  <si>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</si>
  <si>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</si>
  <si>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</si>
  <si>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</si>
  <si>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</si>
  <si>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</si>
  <si>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</si>
  <si>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</si>
  <si>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</si>
  <si>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</si>
  <si>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</si>
  <si>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</si>
  <si>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</si>
  <si>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</si>
  <si>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</si>
  <si>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</si>
  <si>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</si>
  <si>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</si>
  <si>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</si>
  <si>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</si>
  <si>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</si>
  <si>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</si>
  <si>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</si>
  <si>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</si>
  <si>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</si>
  <si>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</si>
  <si>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</si>
  <si>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</si>
  <si>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</si>
  <si>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</si>
  <si>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</si>
  <si>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</si>
  <si>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>Nyitó pénzkészlet</t>
  </si>
  <si>
    <t>+ Bevételek 1.sz.melléklet szerinti összege</t>
  </si>
  <si>
    <t>+-Sajátos elszámolások</t>
  </si>
  <si>
    <t>+Egyéb pénzeszközök és sajátos elszámolások mérlegfordulónapi értékelése során megállapított (nem realizált) árfolyamnyeresége (9352), árfolyamvesztesége (8552)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</si>
  <si>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</si>
  <si>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</si>
  <si>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</si>
  <si>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</si>
  <si>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</si>
  <si>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</si>
  <si>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</si>
  <si>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</si>
  <si>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</si>
  <si>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</si>
  <si>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</si>
  <si>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</si>
  <si>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</si>
  <si>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</si>
  <si>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</si>
  <si>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</si>
  <si>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</si>
  <si>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</si>
  <si>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</si>
  <si>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</si>
  <si>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1. Az ÁHT-ra való hivatkozással, a személyes gondoskodást nyújtó szociális és gyermekjóléti ellátások térítési díjáról szóló   11/1993. (IV.I.) sz. 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</si>
  <si>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</si>
  <si>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vagyonrendelete alapján nyújtott kedvezmények, mentességek összege.</t>
  </si>
  <si>
    <t>5. Közterülethasználati díj mentesség az Önkormányzat rendelete alapján.</t>
  </si>
  <si>
    <t>Kimutatás az Európai Unios támogatással megvalósuló projektek</t>
  </si>
  <si>
    <t>Működés</t>
  </si>
  <si>
    <t>Fejlesztés</t>
  </si>
  <si>
    <t>BEVÉTELEK ÖSSZESEN</t>
  </si>
  <si>
    <t>Egyéb más ágazathoz nem sorolható intézmények és feladatok kiadásai</t>
  </si>
  <si>
    <t>KIADÁSOK ÖSSZESEN</t>
  </si>
  <si>
    <r>
      <t>következő évekre áthúzódó hatásairól</t>
    </r>
    <r>
      <rPr>
        <b/>
        <sz val="14"/>
        <color rgb="FFFF0000"/>
        <rFont val="Calibri"/>
        <family val="2"/>
        <charset val="238"/>
      </rPr>
      <t xml:space="preserve"> </t>
    </r>
  </si>
  <si>
    <t>2023.</t>
  </si>
  <si>
    <t>2024.</t>
  </si>
  <si>
    <t>2025.</t>
  </si>
  <si>
    <t>2026.</t>
  </si>
  <si>
    <t>Vagyongazdálkodási kiadások (ingatlan kisajátítás, vásárlás)</t>
  </si>
  <si>
    <t>Szöveges indoklás:</t>
  </si>
  <si>
    <t xml:space="preserve">A többéves kihatással járó költségvetési tételek egyrészt Szombathely Megyei Jogú Város közgyűlésének </t>
  </si>
  <si>
    <t>közgyűlési döntések alapján kerültek beépítésre.</t>
  </si>
  <si>
    <t>ESZKÖZÖK</t>
  </si>
  <si>
    <t xml:space="preserve">2023. </t>
  </si>
  <si>
    <t>zárómérleg</t>
  </si>
  <si>
    <t>2023.12.31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</si>
  <si>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</si>
  <si>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</si>
  <si>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</si>
  <si>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</si>
  <si>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</si>
  <si>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</si>
  <si>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</si>
  <si>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</si>
  <si>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</si>
  <si>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</si>
  <si>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</si>
  <si>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</si>
  <si>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</si>
  <si>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</si>
  <si>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</si>
  <si>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</si>
  <si>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</si>
  <si>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</si>
  <si>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</si>
  <si>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</si>
  <si>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</si>
  <si>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</si>
  <si>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</si>
  <si>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</si>
  <si>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</si>
  <si>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</si>
  <si>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</si>
  <si>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</si>
  <si>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</si>
  <si>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</si>
  <si>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</si>
  <si>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</si>
  <si>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</si>
  <si>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</si>
  <si>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</si>
  <si>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</si>
  <si>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</si>
  <si>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</si>
  <si>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</si>
  <si>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</si>
  <si>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</si>
  <si>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</si>
  <si>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</si>
  <si>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</si>
  <si>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</si>
  <si>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</si>
  <si>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</si>
  <si>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</si>
  <si>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</si>
  <si>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</si>
  <si>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</si>
  <si>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</si>
  <si>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</si>
  <si>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</si>
  <si>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</si>
  <si>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</si>
  <si>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</si>
  <si>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</si>
  <si>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</si>
  <si>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</si>
  <si>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</si>
  <si>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</si>
  <si>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</si>
  <si>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</si>
  <si>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</si>
  <si>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</si>
  <si>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</si>
  <si>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</si>
  <si>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</si>
  <si>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</si>
  <si>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</si>
  <si>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</si>
  <si>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</si>
  <si>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</si>
  <si>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</si>
  <si>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</si>
  <si>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</si>
  <si>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</si>
  <si>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</si>
  <si>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</si>
  <si>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</si>
  <si>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</si>
  <si>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</si>
  <si>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</si>
  <si>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</si>
  <si>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</si>
  <si>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</si>
  <si>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</si>
  <si>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</si>
  <si>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</si>
  <si>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</si>
  <si>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</si>
  <si>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</si>
  <si>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</si>
  <si>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</si>
  <si>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</si>
  <si>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</si>
  <si>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</si>
  <si>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</si>
  <si>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</si>
  <si>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</si>
  <si>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</si>
  <si>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</si>
  <si>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</si>
  <si>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</si>
  <si>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</si>
  <si>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</si>
  <si>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</si>
  <si>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</si>
  <si>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</si>
  <si>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</si>
  <si>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</si>
  <si>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</si>
  <si>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</si>
  <si>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</si>
  <si>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</si>
  <si>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</si>
  <si>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</si>
  <si>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</si>
  <si>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</si>
  <si>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</si>
  <si>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</si>
  <si>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</si>
  <si>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</si>
  <si>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</si>
  <si>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</si>
  <si>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</si>
  <si>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</si>
  <si>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</si>
  <si>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</si>
  <si>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</si>
  <si>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</si>
  <si>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</si>
  <si>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</si>
  <si>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</si>
  <si>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</si>
  <si>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</si>
  <si>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</si>
  <si>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</si>
  <si>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</si>
  <si>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</si>
  <si>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</si>
  <si>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</si>
  <si>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</si>
  <si>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</si>
  <si>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</si>
  <si>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</si>
  <si>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</si>
  <si>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</si>
  <si>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</si>
  <si>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</si>
  <si>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</si>
  <si>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</si>
  <si>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</si>
  <si>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</si>
  <si>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</si>
  <si>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</si>
  <si>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</si>
  <si>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</si>
  <si>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</si>
  <si>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</si>
  <si>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</si>
  <si>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</si>
  <si>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</si>
  <si>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</si>
  <si>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</si>
  <si>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</si>
  <si>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</si>
  <si>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</si>
  <si>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</si>
  <si>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</si>
  <si>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</si>
  <si>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</si>
  <si>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</si>
  <si>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</si>
  <si>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</si>
  <si>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</si>
  <si>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</si>
  <si>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</si>
  <si>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</si>
  <si>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</si>
  <si>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</si>
  <si>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</si>
  <si>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</si>
  <si>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</si>
  <si>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</si>
  <si>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</si>
  <si>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</si>
  <si>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</si>
  <si>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</si>
  <si>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</si>
  <si>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</si>
  <si>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</si>
  <si>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</si>
  <si>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</si>
  <si>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</si>
  <si>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</si>
  <si>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</si>
  <si>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</si>
  <si>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</si>
  <si>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</si>
  <si>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</si>
  <si>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</si>
  <si>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</si>
  <si>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</si>
  <si>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</si>
  <si>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</si>
  <si>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</si>
  <si>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</si>
  <si>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</si>
  <si>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</si>
  <si>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</si>
  <si>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</si>
  <si>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</si>
  <si>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</si>
  <si>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</si>
  <si>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Bérlakások felújítása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</si>
  <si>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</si>
  <si>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</si>
  <si>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</si>
  <si>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</si>
  <si>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</si>
  <si>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</si>
  <si>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</si>
  <si>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</si>
  <si>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</si>
  <si>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</si>
  <si>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</si>
  <si>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</si>
  <si>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</si>
  <si>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</si>
  <si>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</si>
  <si>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</si>
  <si>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</si>
  <si>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</si>
  <si>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</si>
  <si>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</si>
  <si>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</si>
  <si>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</si>
  <si>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</si>
  <si>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</si>
  <si>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</si>
  <si>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</si>
  <si>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</si>
  <si>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</si>
  <si>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</si>
  <si>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</si>
  <si>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</si>
  <si>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</si>
  <si>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</si>
  <si>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</si>
  <si>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</si>
  <si>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</si>
  <si>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</si>
  <si>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</si>
  <si>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</si>
  <si>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</si>
  <si>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</si>
  <si>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</si>
  <si>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</si>
  <si>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</si>
  <si>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</si>
  <si>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</si>
  <si>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</si>
  <si>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</si>
  <si>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</si>
  <si>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</si>
  <si>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</si>
  <si>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</si>
  <si>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</si>
  <si>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</si>
  <si>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</si>
  <si>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</si>
  <si>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</si>
  <si>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</si>
  <si>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</si>
  <si>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</si>
  <si>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</si>
  <si>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</si>
  <si>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</si>
  <si>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</si>
  <si>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</si>
  <si>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</si>
  <si>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</si>
  <si>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</si>
  <si>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</si>
  <si>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</si>
  <si>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</si>
  <si>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</si>
  <si>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</si>
  <si>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</si>
  <si>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</si>
  <si>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</si>
  <si>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</si>
  <si>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</si>
  <si>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</si>
  <si>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</si>
  <si>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</si>
  <si>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</si>
  <si>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</si>
  <si>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</si>
  <si>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</si>
  <si>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</si>
  <si>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</si>
  <si>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</si>
  <si>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</si>
  <si>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</si>
  <si>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</si>
  <si>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</si>
  <si>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</si>
  <si>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</si>
  <si>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</si>
  <si>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</si>
  <si>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</si>
  <si>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</si>
  <si>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</si>
  <si>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</si>
  <si>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</si>
  <si>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</si>
  <si>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</si>
  <si>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</si>
  <si>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</si>
  <si>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</si>
  <si>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</si>
  <si>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</si>
  <si>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</si>
  <si>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</si>
  <si>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</si>
  <si>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</si>
  <si>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</si>
  <si>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</si>
  <si>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</si>
  <si>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</si>
  <si>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</si>
  <si>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</si>
  <si>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</si>
  <si>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</si>
  <si>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</si>
  <si>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</si>
  <si>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</si>
  <si>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</si>
  <si>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</si>
  <si>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</si>
  <si>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</si>
  <si>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</si>
  <si>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</si>
  <si>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</si>
  <si>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</si>
  <si>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</si>
  <si>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</si>
  <si>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</si>
  <si>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</si>
  <si>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</si>
  <si>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</si>
  <si>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</si>
  <si>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</si>
  <si>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</si>
  <si>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</si>
  <si>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</si>
  <si>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</si>
  <si>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</si>
  <si>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</si>
  <si>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</si>
  <si>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</si>
  <si>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</si>
  <si>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</si>
  <si>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</si>
  <si>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</si>
  <si>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</si>
  <si>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</si>
  <si>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</si>
  <si>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</si>
  <si>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</si>
  <si>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</si>
  <si>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</si>
  <si>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</si>
  <si>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</si>
  <si>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</si>
  <si>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</si>
  <si>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Jegyzett tőke</t>
  </si>
  <si>
    <t>Tulajdoni hányad</t>
  </si>
  <si>
    <t>Korábbi évek</t>
  </si>
  <si>
    <t>Tárgyévi</t>
  </si>
  <si>
    <t>Mérleg érték</t>
  </si>
  <si>
    <t xml:space="preserve"> elszámolt</t>
  </si>
  <si>
    <t xml:space="preserve"> Elszámolt</t>
  </si>
  <si>
    <t>%-ban</t>
  </si>
  <si>
    <t>értékvesztés</t>
  </si>
  <si>
    <t>FALCO KC</t>
  </si>
  <si>
    <t>Vasivíz RT</t>
  </si>
  <si>
    <t>Prenor KFT</t>
  </si>
  <si>
    <t>Szombathelyi Parkfenntartási Kft</t>
  </si>
  <si>
    <t>Vas Megyei Temetkezési Kft</t>
  </si>
  <si>
    <t>Saját alapítású gazdasági társaságok összesen</t>
  </si>
  <si>
    <t>Szombathelyi Vagyonhasznosító és Városgazd. Nonprofit Zrt.</t>
  </si>
  <si>
    <t>Fogyatékkal Élőket és Hajléktalanokat Ellátó Közhasznú Nonprofit Kft.</t>
  </si>
  <si>
    <t xml:space="preserve">Agora Savaria Kultúrália és Médiaközpont Nonprofit Kft. </t>
  </si>
  <si>
    <t>Szombathelyi Sportközpont és Sportiskola Nonprofit Kft.</t>
  </si>
  <si>
    <t>Weöres Sándor Színház Nonprofit Kft.</t>
  </si>
  <si>
    <t>Savaria Városfejlesztési Nonprofit Kft.</t>
  </si>
  <si>
    <t>Savaria Turizmus Nonprofit Kft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</si>
  <si>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</si>
  <si>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</si>
  <si>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</si>
  <si>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</si>
  <si>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</si>
  <si>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</si>
  <si>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</si>
  <si>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</si>
  <si>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</si>
  <si>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</si>
  <si>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</si>
  <si>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2024. év</t>
  </si>
  <si>
    <t>2026. év</t>
  </si>
  <si>
    <t>2027. év</t>
  </si>
  <si>
    <t>2028. év</t>
  </si>
  <si>
    <t>2029. év</t>
  </si>
  <si>
    <t>2030. év</t>
  </si>
  <si>
    <t>2031. év</t>
  </si>
  <si>
    <t>Kamat
(BUBOR+1,85%)</t>
  </si>
  <si>
    <t xml:space="preserve">2024. évi bevételei  kiemelt előirányzatonként </t>
  </si>
  <si>
    <t xml:space="preserve">2024. évi  kiadásai kiemelt előirányzatonként </t>
  </si>
  <si>
    <t>2024. évi közvetett támogatásairól</t>
  </si>
  <si>
    <t>2024. évi bevételeiről és kiadásairól</t>
  </si>
  <si>
    <t>2027.</t>
  </si>
  <si>
    <t>Szombathely Megyei Jogú Város Önkormányzata 2024.évi fejlesztési kiadásainak</t>
  </si>
  <si>
    <t>2024.12.31</t>
  </si>
  <si>
    <t xml:space="preserve">2024. </t>
  </si>
  <si>
    <t>Szombathely Megyei Jogú Város Önkormányzatának mérlegadatai 2024.évben</t>
  </si>
  <si>
    <t xml:space="preserve">       A " Lakásalap" 1994-2024. közötti bevételeiről és kiadásairól</t>
  </si>
  <si>
    <t>2024 évi segély kifizetésekről</t>
  </si>
  <si>
    <t>értéke  Ft</t>
  </si>
  <si>
    <t>Szhelyi Haladás Labdarúgó és Sportszolg.KFT  "F.A"</t>
  </si>
  <si>
    <t>Haladás 1919 Labdarúgó Kft</t>
  </si>
  <si>
    <t>Részesedések, üzletrészek állománya 2024. december 31-én</t>
  </si>
  <si>
    <t>Záróállomány 2024.12.31. mindösszesen:</t>
  </si>
  <si>
    <t>2024. évi útfelújítási program fordított áfa kiadás</t>
  </si>
  <si>
    <t>Költségvetési szervek 2024.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</si>
  <si>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</si>
  <si>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</si>
  <si>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</si>
  <si>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</si>
  <si>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</si>
  <si>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</si>
  <si>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</si>
  <si>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</si>
  <si>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</si>
  <si>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</si>
  <si>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
RM III.</t>
  </si>
  <si>
    <t>Teljesítés  
%-a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</si>
  <si>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</si>
  <si>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</si>
  <si>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</si>
  <si>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</si>
  <si>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</si>
  <si>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</si>
  <si>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</si>
  <si>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</si>
  <si>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</si>
  <si>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</si>
  <si>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</si>
  <si>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</si>
  <si>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</si>
  <si>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</si>
  <si>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</si>
  <si>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</si>
  <si>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>Mocorgó Óvoda</t>
  </si>
  <si>
    <t>Benczúr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</si>
  <si>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</si>
  <si>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</si>
  <si>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</si>
  <si>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</si>
  <si>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</si>
  <si>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Savaria Szimfonikus Zenekar</t>
  </si>
  <si>
    <t>Savaria Múzeum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</si>
  <si>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</si>
  <si>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</si>
  <si>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</si>
  <si>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</si>
  <si>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</si>
  <si>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 xml:space="preserve">Szombathelyi Egyesített Bölcsődei Intézmény 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</si>
  <si>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</si>
  <si>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</si>
  <si>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</si>
  <si>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</si>
  <si>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</si>
  <si>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2024. évi kiadásai</t>
  </si>
  <si>
    <t xml:space="preserve">Dologi kiadások </t>
  </si>
  <si>
    <t>Költségvetési kiadások összesen</t>
  </si>
  <si>
    <t>Teljesítés          
%-a</t>
  </si>
  <si>
    <t xml:space="preserve">Mocorgó Óvoda </t>
  </si>
  <si>
    <t>Szombathely Megyei Jogú Város Önkormányzatának</t>
  </si>
  <si>
    <t>2024. évi  engedélyezett záró létszámelőirányzata</t>
  </si>
  <si>
    <t>2024. évi  záró engedélyezett  létszám  előirányzat összesen</t>
  </si>
  <si>
    <t>Intézmény</t>
  </si>
  <si>
    <t>SZAKMAI LÉTSZÁM</t>
  </si>
  <si>
    <t>INTÉZMÉNY ÜZEMELTETÉSI LÉTSZÁM</t>
  </si>
  <si>
    <t>2024. évi záró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</si>
  <si>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</si>
  <si>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</si>
  <si>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</si>
  <si>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</si>
  <si>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</si>
  <si>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</si>
  <si>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</si>
  <si>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</si>
  <si>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-2023.évi pénzmaradvány (pénzforgalom nélküli bevétel)</t>
  </si>
  <si>
    <t>Pénzeszközök változásának bemutatása 2024</t>
  </si>
  <si>
    <t xml:space="preserve"> 2025.évi költségvetési rendelettervezetében meghatározott feladatok, illetve korábbi</t>
  </si>
  <si>
    <t>Savaria Szimfónikus Zenekar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</si>
  <si>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</si>
  <si>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</si>
  <si>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(Kvtv.2024. 2. melléklet)</t>
  </si>
  <si>
    <t>2024. év  eredeti előirányzat</t>
  </si>
  <si>
    <t>2024. évi III.sz. módosított előirányzat</t>
  </si>
  <si>
    <t>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</si>
  <si>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</si>
  <si>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</si>
  <si>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</si>
  <si>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</si>
  <si>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</si>
  <si>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</si>
  <si>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</si>
  <si>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</si>
  <si>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</si>
  <si>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</si>
  <si>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</si>
  <si>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</si>
  <si>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</si>
  <si>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</si>
  <si>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</si>
  <si>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</si>
  <si>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</si>
  <si>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</si>
  <si>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</si>
  <si>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</si>
  <si>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</si>
  <si>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</si>
  <si>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</si>
  <si>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1.2.3. Kiegészítő támogatás a pedagógusok és a pedagógus szakképzettséggel rendelkező segítők  minosítésébol adódó többletkiadásaihoz</t>
  </si>
  <si>
    <t>1.2.3.1. Minősítést 2023.január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</si>
  <si>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</si>
  <si>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</si>
  <si>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 Pedagógus II.kategóriába sorolt pedagógusok,ped.szakképzettséggel rendekkező segtők kiegészítő támogatása</t>
  </si>
  <si>
    <t>1.2.3.1.1.2. Mestertanár,kutatótanár kategóriába sorolt pedagógusok kiegészítő támogatása</t>
  </si>
  <si>
    <t>1.2.3.1.1.2. Mesterfokú végzettségű</t>
  </si>
  <si>
    <t>1.2.3.1.2.1. Pedagógus II.kategóriába sorolt pedagógusok,ped.szakképzettséggel rendekkező segtők kiegészítő támogatása</t>
  </si>
  <si>
    <t>1.2.3.1.2.2. Mestertanár,kutatótanár kategóriába sorolt pedagósusok kiegészítő támogatása</t>
  </si>
  <si>
    <t>1.2.3.2. Minősítést 2024.január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</si>
  <si>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</si>
  <si>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</si>
  <si>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</si>
  <si>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</si>
  <si>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</si>
  <si>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</si>
  <si>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</si>
  <si>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</si>
  <si>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</si>
  <si>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</si>
  <si>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</si>
  <si>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</si>
  <si>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</si>
  <si>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</si>
  <si>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</si>
  <si>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</si>
  <si>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</si>
  <si>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</si>
  <si>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</si>
  <si>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</si>
  <si>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</si>
  <si>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</si>
  <si>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</si>
  <si>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</si>
  <si>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</si>
  <si>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önkormányzatok 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</si>
  <si>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</si>
  <si>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</si>
  <si>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szociális szakosított ellátsok, valamint a gyermekek átmeneti gondozásával kapcsolatos feladatok támogatása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</si>
  <si>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</si>
  <si>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</si>
  <si>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</si>
  <si>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</si>
  <si>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</si>
  <si>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</si>
  <si>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</si>
  <si>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</si>
  <si>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</si>
  <si>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</si>
  <si>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</si>
  <si>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</si>
  <si>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(Kvtv.2024. 3. melléklet)</t>
  </si>
  <si>
    <t>2.2.2. Szociális ágazati összevont pótlék és egészségügyi kiegészítő pótlék</t>
  </si>
  <si>
    <t>2.2.3.Óvodai és iskolai szociális segítő tevékenység támogatása</t>
  </si>
  <si>
    <t>Összesen - kiegtámogatás</t>
  </si>
  <si>
    <t>2.3.2.1. Megyei hatókörű városi múzeumok feladatainak támogatása</t>
  </si>
  <si>
    <t>2.3.2.2. Megyei hatókörű városi  könyvtárak feladatainak támogatása</t>
  </si>
  <si>
    <t>2.3.2.4. Könyvtári érdekeltségnövelő támogatás</t>
  </si>
  <si>
    <t>2.3.2.6. Zeneművészeti szervezetek támogatása</t>
  </si>
  <si>
    <t>2.3.3.  Települési önkormányzatok kulturális feladatainak bérjellegű támogatása (bérfejlesztéshez) (682/2021.(XII.6.) korm.rend.)</t>
  </si>
  <si>
    <t>2.3.3.  Települési önkormányzatok kulturális feladatainak bérjellegű támogatása (kulturális területen biztosítandó kiegészítő támogatás) (68/2023.(III.10.) korm.rend. 3.melléklet) - minimálbér és garantált bérminimum emelés</t>
  </si>
  <si>
    <t>Kulturális feladatok támogatása összesen</t>
  </si>
  <si>
    <t xml:space="preserve">A kéményseprő-ipari közszolgáltatás helyi önkormányzat általi ellátásának támogatása 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</si>
  <si>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</si>
  <si>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</si>
  <si>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</si>
  <si>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</si>
  <si>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</si>
  <si>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</si>
  <si>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</si>
  <si>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</si>
  <si>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 xml:space="preserve">Szombathely Megyei Jogú Város Önkormányzata ingatlanvagyon-kataszter összesítője 2024. év </t>
  </si>
  <si>
    <t>Vas Vármegyei Szakképzési Centrum</t>
  </si>
  <si>
    <t>Szombathely Megyei Jogú Város vagyonkimutatása 2024. év</t>
  </si>
  <si>
    <t>SZMJV Önkormányzata intézményeinek vagyonkezelésében</t>
  </si>
  <si>
    <t>Intranet alapú városi hálózat</t>
  </si>
  <si>
    <t>1. Városi kulturális intézmények</t>
  </si>
  <si>
    <t>1. Városi kulturális intézmények működési kiadásai összesen</t>
  </si>
  <si>
    <t>2. Önkormányzati gazdasági társaságok</t>
  </si>
  <si>
    <t>ÖNKORMÁNYZATI KULTURÁLIS KIADÁSOK</t>
  </si>
  <si>
    <t>3. Kulturális és civil szervezetek támogatása</t>
  </si>
  <si>
    <t>6. Egyéb kulturális rendezvények, programok</t>
  </si>
  <si>
    <t>EGYÉB KULTURÁLIS KIADÁSOK</t>
  </si>
  <si>
    <t>7. Egyéb kulturális szervezetek támogatása</t>
  </si>
  <si>
    <t>8. Közhasznú információk támogatása</t>
  </si>
  <si>
    <t>V. ÖNKORMÁNYZATI KULTURÁLIS KIADÁSOK MINDÖSSZESEN (II+III+IV)</t>
  </si>
  <si>
    <t>VI. KULTURÁLIS ÁGAZAT MŰKÖDÉSI CÉLÚ KIADÁSOK MINDÖSSZESEN (I+V)</t>
  </si>
  <si>
    <t>Szombathelyi Köznevelési Gamesz</t>
  </si>
  <si>
    <r>
      <t>Weöres Sándor Színház Nonprofit Kft.</t>
    </r>
    <r>
      <rPr>
        <b/>
        <i/>
        <sz val="12"/>
        <rFont val="Calibri"/>
        <family val="2"/>
        <charset val="238"/>
        <scheme val="minor"/>
      </rPr>
      <t xml:space="preserve"> önkormányzati támogatása</t>
    </r>
  </si>
  <si>
    <t>Állami és önkormányzati adatbázisok használati, továbbvezetési, karbantartási és szolgáltatási díja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</si>
</sst>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27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sz val="11"/>
      <color indexed="8"/>
      <name val="Calibri"/>
      <family val="2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4"/>
      <color rgb="FFFF0000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b/>
      <i/>
      <u/>
      <sz val="14"/>
      <color rgb="FFFF0000"/>
      <name val="Arial CE"/>
      <charset val="238"/>
    </font>
    <font>
      <sz val="14"/>
      <name val="Arial"/>
      <family val="2"/>
      <charset val="238"/>
    </font>
    <font>
      <sz val="13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Times New Roman CE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</font>
    <font>
      <sz val="18"/>
      <color theme="1"/>
      <name val="Arial CE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Arial CE"/>
      <family val="2"/>
      <charset val="238"/>
    </font>
    <font>
      <b/>
      <sz val="18"/>
      <color rgb="FFFF0000"/>
      <name val="Arial CE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sz val="14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2"/>
      <name val="Arial"/>
      <family val="2"/>
    </font>
    <font>
      <sz val="10"/>
      <name val="Arial"/>
      <family val="2"/>
    </font>
    <font>
      <sz val="16"/>
      <color rgb="FFFF0000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i/>
      <sz val="11"/>
      <name val="Calibri"/>
      <family val="2"/>
      <charset val="238"/>
    </font>
    <font>
      <sz val="11"/>
      <name val="Arial"/>
      <family val="2"/>
    </font>
    <font>
      <sz val="12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</font>
    <font>
      <sz val="10"/>
      <color rgb="FFFF0000"/>
      <name val="Arial CE"/>
      <charset val="238"/>
    </font>
    <font>
      <b/>
      <sz val="10"/>
      <name val="Arial CE"/>
      <family val="2"/>
      <charset val="238"/>
    </font>
    <font>
      <sz val="12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charset val="238"/>
    </font>
    <font>
      <b/>
      <sz val="11"/>
      <name val="Arial CE"/>
      <family val="2"/>
      <charset val="238"/>
    </font>
    <font>
      <sz val="10"/>
      <color indexed="8"/>
      <name val="MS Sans Serif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rgb="FFFF0000"/>
      <name val="Arial CE"/>
      <family val="2"/>
      <charset val="238"/>
    </font>
    <font>
      <sz val="8"/>
      <name val="Arial CE"/>
      <family val="2"/>
      <charset val="238"/>
    </font>
    <font>
      <sz val="26"/>
      <color rgb="FFFF0000"/>
      <name val="Arial CE"/>
      <family val="2"/>
      <charset val="238"/>
    </font>
    <font>
      <b/>
      <sz val="36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36"/>
      <name val="Arial CE"/>
      <charset val="238"/>
    </font>
    <font>
      <b/>
      <sz val="44"/>
      <name val="Calibri"/>
      <family val="2"/>
      <charset val="238"/>
      <scheme val="minor"/>
    </font>
    <font>
      <b/>
      <sz val="44"/>
      <name val="Arial CE"/>
      <charset val="238"/>
    </font>
    <font>
      <b/>
      <sz val="34"/>
      <name val="Calibri"/>
      <family val="2"/>
      <charset val="238"/>
      <scheme val="minor"/>
    </font>
    <font>
      <b/>
      <sz val="34"/>
      <name val="Arial CE"/>
      <charset val="238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36"/>
      <color indexed="10"/>
      <name val="Calibri"/>
      <family val="2"/>
      <charset val="238"/>
      <scheme val="minor"/>
    </font>
    <font>
      <b/>
      <sz val="36"/>
      <color indexed="10"/>
      <name val="Arial CE"/>
      <charset val="238"/>
    </font>
    <font>
      <b/>
      <sz val="3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44"/>
      <name val="Calibri"/>
      <family val="2"/>
      <charset val="238"/>
      <scheme val="minor"/>
    </font>
    <font>
      <sz val="44"/>
      <name val="Arial CE"/>
      <family val="2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sz val="36"/>
      <name val="Arial CE"/>
      <charset val="238"/>
    </font>
    <font>
      <sz val="16"/>
      <name val="Arial CE"/>
      <charset val="238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i/>
      <sz val="14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sz val="13"/>
      <name val="Arial CE"/>
      <family val="2"/>
      <charset val="238"/>
    </font>
    <font>
      <b/>
      <sz val="2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8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name val="Arial"/>
      <family val="2"/>
      <charset val="238"/>
    </font>
    <font>
      <sz val="24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20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26"/>
      <name val="Arial"/>
      <family val="2"/>
      <charset val="238"/>
    </font>
    <font>
      <b/>
      <i/>
      <sz val="20"/>
      <name val="Arial"/>
      <family val="2"/>
      <charset val="238"/>
    </font>
    <font>
      <b/>
      <sz val="24"/>
      <name val="Arial CE"/>
      <charset val="238"/>
    </font>
    <font>
      <b/>
      <i/>
      <u/>
      <sz val="14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Times New Roman CE"/>
      <charset val="238"/>
    </font>
    <font>
      <b/>
      <sz val="40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i/>
      <sz val="4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6337778862885"/>
        <bgColor indexed="64"/>
      </patternFill>
    </fill>
  </fills>
  <borders count="1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07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8" borderId="0" applyNumberFormat="0" applyBorder="0" applyAlignment="0" applyProtection="0"/>
    <xf numFmtId="0" fontId="3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16" borderId="0" applyNumberFormat="0" applyBorder="0" applyAlignment="0" applyProtection="0"/>
    <xf numFmtId="0" fontId="37" fillId="12" borderId="0" applyNumberFormat="0" applyBorder="0" applyAlignment="0" applyProtection="0"/>
    <xf numFmtId="0" fontId="37" fillId="4" borderId="0" applyNumberFormat="0" applyBorder="0" applyAlignment="0" applyProtection="0"/>
    <xf numFmtId="0" fontId="3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38" fillId="19" borderId="0" applyNumberFormat="0" applyBorder="0" applyAlignment="0" applyProtection="0"/>
    <xf numFmtId="0" fontId="38" fillId="5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18" borderId="0" applyNumberFormat="0" applyBorder="0" applyAlignment="0" applyProtection="0"/>
    <xf numFmtId="0" fontId="38" fillId="23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3" borderId="0" applyNumberFormat="0" applyBorder="0" applyAlignment="0" applyProtection="0"/>
    <xf numFmtId="0" fontId="39" fillId="10" borderId="0" applyNumberFormat="0" applyBorder="0" applyAlignment="0" applyProtection="0"/>
    <xf numFmtId="0" fontId="18" fillId="15" borderId="1" applyNumberFormat="0" applyAlignment="0" applyProtection="0"/>
    <xf numFmtId="0" fontId="40" fillId="24" borderId="1" applyNumberFormat="0" applyAlignment="0" applyProtection="0"/>
    <xf numFmtId="0" fontId="41" fillId="25" borderId="2" applyNumberFormat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2" applyNumberFormat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7" fillId="7" borderId="1" applyNumberFormat="0" applyAlignment="0" applyProtection="0"/>
    <xf numFmtId="0" fontId="5" fillId="6" borderId="10" applyNumberFormat="0" applyFont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5" fillId="8" borderId="0" applyNumberFormat="0" applyBorder="0" applyAlignment="0" applyProtection="0"/>
    <xf numFmtId="0" fontId="26" fillId="26" borderId="11" applyNumberFormat="0" applyAlignment="0" applyProtection="0"/>
    <xf numFmtId="0" fontId="48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49" fillId="15" borderId="0" applyNumberFormat="0" applyBorder="0" applyAlignment="0" applyProtection="0"/>
    <xf numFmtId="0" fontId="5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37" fillId="6" borderId="10" applyNumberFormat="0" applyFont="0" applyAlignment="0" applyProtection="0"/>
    <xf numFmtId="0" fontId="50" fillId="24" borderId="11" applyNumberFormat="0" applyAlignment="0" applyProtection="0"/>
    <xf numFmtId="0" fontId="28" fillId="0" borderId="13" applyNumberFormat="0" applyFill="0" applyAlignment="0" applyProtection="0"/>
    <xf numFmtId="0" fontId="29" fillId="12" borderId="0" applyNumberFormat="0" applyBorder="0" applyAlignment="0" applyProtection="0"/>
    <xf numFmtId="0" fontId="30" fillId="15" borderId="0" applyNumberFormat="0" applyBorder="0" applyAlignment="0" applyProtection="0"/>
    <xf numFmtId="0" fontId="31" fillId="26" borderId="1" applyNumberFormat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" fillId="0" borderId="0"/>
    <xf numFmtId="0" fontId="94" fillId="0" borderId="0"/>
    <xf numFmtId="0" fontId="10" fillId="0" borderId="0"/>
    <xf numFmtId="0" fontId="6" fillId="0" borderId="0"/>
    <xf numFmtId="0" fontId="6" fillId="0" borderId="0"/>
    <xf numFmtId="0" fontId="119" fillId="0" borderId="0"/>
    <xf numFmtId="0" fontId="119" fillId="0" borderId="0"/>
    <xf numFmtId="0" fontId="6" fillId="0" borderId="0"/>
    <xf numFmtId="0" fontId="6" fillId="0" borderId="0"/>
    <xf numFmtId="0" fontId="119" fillId="0" borderId="0"/>
    <xf numFmtId="0" fontId="119" fillId="0" borderId="0"/>
    <xf numFmtId="0" fontId="119" fillId="0" borderId="0"/>
    <xf numFmtId="0" fontId="133" fillId="0" borderId="0"/>
    <xf numFmtId="0" fontId="6" fillId="0" borderId="0"/>
    <xf numFmtId="0" fontId="119" fillId="0" borderId="0"/>
    <xf numFmtId="0" fontId="119" fillId="0" borderId="0"/>
    <xf numFmtId="0" fontId="94" fillId="0" borderId="0"/>
    <xf numFmtId="0" fontId="2" fillId="0" borderId="0"/>
    <xf numFmtId="0" fontId="1" fillId="0" borderId="0"/>
  </cellStyleXfs>
  <cellXfs count="2102">
    <xf numFmtId="0" fontId="0" fillId="0" borderId="0" xfId="0"/>
    <xf numFmtId="0" fontId="8" fillId="0" borderId="0" xfId="0" applyFont="1"/>
    <xf numFmtId="3" fontId="7" fillId="0" borderId="0" xfId="0" applyNumberFormat="1" applyFont="1"/>
    <xf numFmtId="3" fontId="8" fillId="0" borderId="0" xfId="0" applyNumberFormat="1" applyFont="1"/>
    <xf numFmtId="0" fontId="7" fillId="0" borderId="0" xfId="0" applyFont="1"/>
    <xf numFmtId="3" fontId="8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77" applyFont="1"/>
    <xf numFmtId="3" fontId="8" fillId="0" borderId="0" xfId="77" applyNumberFormat="1" applyFont="1"/>
    <xf numFmtId="3" fontId="12" fillId="0" borderId="0" xfId="0" applyNumberFormat="1" applyFont="1"/>
    <xf numFmtId="0" fontId="15" fillId="0" borderId="0" xfId="0" applyFont="1"/>
    <xf numFmtId="3" fontId="7" fillId="0" borderId="0" xfId="0" applyNumberFormat="1" applyFont="1" applyAlignment="1">
      <alignment horizontal="left"/>
    </xf>
    <xf numFmtId="0" fontId="7" fillId="28" borderId="0" xfId="0" applyFont="1" applyFill="1" applyAlignment="1">
      <alignment horizontal="center"/>
    </xf>
    <xf numFmtId="3" fontId="34" fillId="0" borderId="0" xfId="0" applyNumberFormat="1" applyFont="1" applyAlignment="1">
      <alignment horizontal="right"/>
    </xf>
    <xf numFmtId="0" fontId="8" fillId="27" borderId="0" xfId="0" applyFont="1" applyFill="1"/>
    <xf numFmtId="0" fontId="36" fillId="0" borderId="0" xfId="0" applyFont="1"/>
    <xf numFmtId="0" fontId="11" fillId="0" borderId="0" xfId="77" applyFont="1"/>
    <xf numFmtId="3" fontId="8" fillId="0" borderId="0" xfId="77" applyNumberFormat="1" applyFont="1" applyAlignment="1">
      <alignment horizontal="right"/>
    </xf>
    <xf numFmtId="0" fontId="8" fillId="0" borderId="0" xfId="77" applyFont="1" applyAlignment="1">
      <alignment horizontal="center"/>
    </xf>
    <xf numFmtId="0" fontId="7" fillId="0" borderId="0" xfId="77" applyFont="1" applyAlignment="1">
      <alignment horizontal="center"/>
    </xf>
    <xf numFmtId="3" fontId="34" fillId="0" borderId="0" xfId="0" applyNumberFormat="1" applyFont="1"/>
    <xf numFmtId="3" fontId="32" fillId="0" borderId="0" xfId="0" applyNumberFormat="1" applyFont="1"/>
    <xf numFmtId="3" fontId="14" fillId="0" borderId="0" xfId="0" applyNumberFormat="1" applyFont="1"/>
    <xf numFmtId="0" fontId="13" fillId="0" borderId="0" xfId="0" applyFont="1" applyAlignment="1">
      <alignment horizontal="center"/>
    </xf>
    <xf numFmtId="3" fontId="55" fillId="0" borderId="0" xfId="0" applyNumberFormat="1" applyFont="1"/>
    <xf numFmtId="0" fontId="9" fillId="0" borderId="18" xfId="0" applyFont="1" applyBorder="1" applyAlignment="1">
      <alignment horizontal="justify"/>
    </xf>
    <xf numFmtId="3" fontId="8" fillId="0" borderId="0" xfId="0" applyNumberFormat="1" applyFont="1" applyAlignment="1">
      <alignment wrapText="1"/>
    </xf>
    <xf numFmtId="0" fontId="36" fillId="0" borderId="0" xfId="77" applyFont="1" applyAlignment="1">
      <alignment horizontal="left"/>
    </xf>
    <xf numFmtId="0" fontId="9" fillId="0" borderId="0" xfId="0" applyFont="1" applyAlignment="1">
      <alignment horizontal="justify"/>
    </xf>
    <xf numFmtId="0" fontId="15" fillId="0" borderId="0" xfId="77" applyFont="1"/>
    <xf numFmtId="0" fontId="36" fillId="0" borderId="0" xfId="77" applyFont="1"/>
    <xf numFmtId="3" fontId="54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0" fontId="57" fillId="0" borderId="0" xfId="0" applyFont="1"/>
    <xf numFmtId="0" fontId="34" fillId="0" borderId="0" xfId="0" applyFont="1"/>
    <xf numFmtId="0" fontId="8" fillId="0" borderId="0" xfId="0" applyFont="1" applyAlignment="1">
      <alignment horizontal="justify"/>
    </xf>
    <xf numFmtId="3" fontId="57" fillId="0" borderId="0" xfId="0" applyNumberFormat="1" applyFont="1"/>
    <xf numFmtId="0" fontId="59" fillId="0" borderId="0" xfId="0" applyFont="1"/>
    <xf numFmtId="3" fontId="60" fillId="0" borderId="0" xfId="0" applyNumberFormat="1" applyFont="1"/>
    <xf numFmtId="0" fontId="60" fillId="0" borderId="0" xfId="0" applyFont="1"/>
    <xf numFmtId="0" fontId="61" fillId="0" borderId="0" xfId="0" applyFont="1"/>
    <xf numFmtId="0" fontId="55" fillId="0" borderId="0" xfId="0" applyFont="1"/>
    <xf numFmtId="3" fontId="61" fillId="0" borderId="0" xfId="0" applyNumberFormat="1" applyFont="1"/>
    <xf numFmtId="3" fontId="62" fillId="0" borderId="0" xfId="0" applyNumberFormat="1" applyFont="1"/>
    <xf numFmtId="0" fontId="62" fillId="0" borderId="0" xfId="0" applyFont="1"/>
    <xf numFmtId="0" fontId="56" fillId="0" borderId="0" xfId="77" applyFont="1"/>
    <xf numFmtId="3" fontId="56" fillId="0" borderId="0" xfId="77" applyNumberFormat="1" applyFont="1"/>
    <xf numFmtId="3" fontId="68" fillId="0" borderId="0" xfId="0" applyNumberFormat="1" applyFont="1"/>
    <xf numFmtId="3" fontId="70" fillId="0" borderId="0" xfId="0" applyNumberFormat="1" applyFont="1" applyAlignment="1">
      <alignment horizontal="right"/>
    </xf>
    <xf numFmtId="3" fontId="33" fillId="0" borderId="0" xfId="0" applyNumberFormat="1" applyFont="1"/>
    <xf numFmtId="3" fontId="64" fillId="0" borderId="0" xfId="0" applyNumberFormat="1" applyFont="1"/>
    <xf numFmtId="4" fontId="8" fillId="0" borderId="0" xfId="0" applyNumberFormat="1" applyFont="1"/>
    <xf numFmtId="4" fontId="36" fillId="0" borderId="0" xfId="0" applyNumberFormat="1" applyFont="1"/>
    <xf numFmtId="2" fontId="8" fillId="0" borderId="0" xfId="77" applyNumberFormat="1" applyFont="1"/>
    <xf numFmtId="0" fontId="63" fillId="0" borderId="0" xfId="77" applyFont="1"/>
    <xf numFmtId="3" fontId="67" fillId="0" borderId="0" xfId="0" applyNumberFormat="1" applyFont="1" applyAlignment="1">
      <alignment horizontal="center"/>
    </xf>
    <xf numFmtId="3" fontId="67" fillId="0" borderId="0" xfId="0" applyNumberFormat="1" applyFont="1"/>
    <xf numFmtId="3" fontId="70" fillId="0" borderId="0" xfId="0" applyNumberFormat="1" applyFont="1"/>
    <xf numFmtId="4" fontId="62" fillId="0" borderId="0" xfId="0" applyNumberFormat="1" applyFont="1"/>
    <xf numFmtId="0" fontId="71" fillId="0" borderId="0" xfId="0" applyFont="1" applyAlignment="1">
      <alignment horizontal="center"/>
    </xf>
    <xf numFmtId="0" fontId="72" fillId="0" borderId="0" xfId="0" applyFont="1"/>
    <xf numFmtId="0" fontId="72" fillId="0" borderId="16" xfId="0" applyFont="1" applyBorder="1"/>
    <xf numFmtId="0" fontId="71" fillId="0" borderId="16" xfId="0" applyFont="1" applyBorder="1"/>
    <xf numFmtId="3" fontId="7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1" fillId="0" borderId="23" xfId="0" applyFont="1" applyBorder="1" applyAlignment="1">
      <alignment horizontal="left"/>
    </xf>
    <xf numFmtId="0" fontId="72" fillId="0" borderId="46" xfId="0" applyFont="1" applyBorder="1"/>
    <xf numFmtId="0" fontId="72" fillId="0" borderId="19" xfId="0" applyFont="1" applyBorder="1"/>
    <xf numFmtId="0" fontId="71" fillId="0" borderId="16" xfId="0" applyFont="1" applyBorder="1" applyAlignment="1">
      <alignment horizontal="left"/>
    </xf>
    <xf numFmtId="0" fontId="71" fillId="0" borderId="16" xfId="0" applyFont="1" applyBorder="1" applyAlignment="1">
      <alignment horizontal="right"/>
    </xf>
    <xf numFmtId="0" fontId="73" fillId="0" borderId="18" xfId="0" applyFont="1" applyBorder="1"/>
    <xf numFmtId="3" fontId="71" fillId="0" borderId="0" xfId="0" applyNumberFormat="1" applyFont="1"/>
    <xf numFmtId="0" fontId="71" fillId="0" borderId="0" xfId="0" applyFont="1"/>
    <xf numFmtId="0" fontId="72" fillId="0" borderId="0" xfId="0" applyFont="1" applyAlignment="1">
      <alignment horizontal="left"/>
    </xf>
    <xf numFmtId="3" fontId="72" fillId="0" borderId="18" xfId="0" applyNumberFormat="1" applyFont="1" applyBorder="1"/>
    <xf numFmtId="3" fontId="72" fillId="0" borderId="0" xfId="0" applyNumberFormat="1" applyFont="1"/>
    <xf numFmtId="0" fontId="7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1" fillId="0" borderId="94" xfId="0" applyFont="1" applyBorder="1" applyAlignment="1">
      <alignment horizontal="center"/>
    </xf>
    <xf numFmtId="0" fontId="71" fillId="0" borderId="28" xfId="0" applyFont="1" applyBorder="1" applyAlignment="1">
      <alignment horizontal="center"/>
    </xf>
    <xf numFmtId="0" fontId="72" fillId="0" borderId="41" xfId="0" applyFont="1" applyBorder="1"/>
    <xf numFmtId="0" fontId="71" fillId="0" borderId="19" xfId="0" applyFont="1" applyBorder="1" applyAlignment="1">
      <alignment horizontal="center"/>
    </xf>
    <xf numFmtId="3" fontId="71" fillId="0" borderId="0" xfId="0" applyNumberFormat="1" applyFont="1" applyAlignment="1">
      <alignment horizontal="center"/>
    </xf>
    <xf numFmtId="3" fontId="75" fillId="0" borderId="0" xfId="0" applyNumberFormat="1" applyFont="1" applyAlignment="1">
      <alignment horizontal="center"/>
    </xf>
    <xf numFmtId="3" fontId="71" fillId="0" borderId="0" xfId="0" applyNumberFormat="1" applyFont="1" applyAlignment="1">
      <alignment horizontal="left"/>
    </xf>
    <xf numFmtId="3" fontId="72" fillId="0" borderId="0" xfId="0" applyNumberFormat="1" applyFont="1" applyAlignment="1">
      <alignment horizontal="left"/>
    </xf>
    <xf numFmtId="3" fontId="71" fillId="0" borderId="18" xfId="0" applyNumberFormat="1" applyFont="1" applyBorder="1" applyAlignment="1">
      <alignment horizontal="centerContinuous"/>
    </xf>
    <xf numFmtId="0" fontId="72" fillId="0" borderId="0" xfId="77" applyFont="1"/>
    <xf numFmtId="0" fontId="71" fillId="0" borderId="27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2" fillId="0" borderId="19" xfId="0" applyFont="1" applyBorder="1" applyAlignment="1">
      <alignment horizontal="center"/>
    </xf>
    <xf numFmtId="2" fontId="71" fillId="0" borderId="0" xfId="0" applyNumberFormat="1" applyFont="1"/>
    <xf numFmtId="0" fontId="71" fillId="0" borderId="16" xfId="0" applyFont="1" applyBorder="1" applyAlignment="1">
      <alignment horizontal="center"/>
    </xf>
    <xf numFmtId="0" fontId="75" fillId="0" borderId="0" xfId="77" applyFont="1"/>
    <xf numFmtId="3" fontId="72" fillId="0" borderId="0" xfId="77" applyNumberFormat="1" applyFont="1" applyAlignment="1">
      <alignment horizontal="right"/>
    </xf>
    <xf numFmtId="0" fontId="74" fillId="0" borderId="0" xfId="77" applyFont="1"/>
    <xf numFmtId="3" fontId="72" fillId="0" borderId="0" xfId="77" applyNumberFormat="1" applyFont="1"/>
    <xf numFmtId="3" fontId="73" fillId="0" borderId="0" xfId="77" applyNumberFormat="1" applyFont="1"/>
    <xf numFmtId="0" fontId="71" fillId="0" borderId="0" xfId="77" applyFont="1" applyAlignment="1">
      <alignment horizontal="center"/>
    </xf>
    <xf numFmtId="0" fontId="72" fillId="0" borderId="16" xfId="77" applyFont="1" applyBorder="1" applyAlignment="1">
      <alignment horizontal="justify"/>
    </xf>
    <xf numFmtId="0" fontId="3" fillId="0" borderId="0" xfId="77" applyFont="1" applyAlignment="1">
      <alignment horizontal="right"/>
    </xf>
    <xf numFmtId="0" fontId="71" fillId="0" borderId="18" xfId="77" applyFont="1" applyBorder="1" applyAlignment="1">
      <alignment horizontal="center"/>
    </xf>
    <xf numFmtId="0" fontId="71" fillId="0" borderId="0" xfId="77" applyFont="1"/>
    <xf numFmtId="0" fontId="76" fillId="0" borderId="0" xfId="77" applyFont="1"/>
    <xf numFmtId="0" fontId="3" fillId="0" borderId="0" xfId="77" applyFont="1"/>
    <xf numFmtId="3" fontId="77" fillId="0" borderId="0" xfId="77" applyNumberFormat="1" applyFont="1"/>
    <xf numFmtId="3" fontId="79" fillId="0" borderId="15" xfId="0" applyNumberFormat="1" applyFont="1" applyBorder="1"/>
    <xf numFmtId="2" fontId="79" fillId="0" borderId="102" xfId="0" applyNumberFormat="1" applyFont="1" applyBorder="1"/>
    <xf numFmtId="3" fontId="79" fillId="0" borderId="36" xfId="0" applyNumberFormat="1" applyFont="1" applyBorder="1"/>
    <xf numFmtId="2" fontId="79" fillId="0" borderId="68" xfId="0" applyNumberFormat="1" applyFont="1" applyBorder="1"/>
    <xf numFmtId="3" fontId="80" fillId="0" borderId="43" xfId="0" applyNumberFormat="1" applyFont="1" applyBorder="1"/>
    <xf numFmtId="4" fontId="80" fillId="0" borderId="80" xfId="0" applyNumberFormat="1" applyFont="1" applyBorder="1"/>
    <xf numFmtId="0" fontId="80" fillId="28" borderId="45" xfId="0" applyFont="1" applyFill="1" applyBorder="1" applyAlignment="1">
      <alignment horizontal="center"/>
    </xf>
    <xf numFmtId="0" fontId="80" fillId="0" borderId="61" xfId="0" applyFont="1" applyBorder="1" applyAlignment="1">
      <alignment horizontal="center"/>
    </xf>
    <xf numFmtId="0" fontId="80" fillId="0" borderId="84" xfId="0" applyFont="1" applyBorder="1" applyAlignment="1">
      <alignment horizontal="center"/>
    </xf>
    <xf numFmtId="4" fontId="79" fillId="0" borderId="102" xfId="0" applyNumberFormat="1" applyFont="1" applyBorder="1"/>
    <xf numFmtId="4" fontId="79" fillId="0" borderId="68" xfId="0" applyNumberFormat="1" applyFont="1" applyBorder="1"/>
    <xf numFmtId="3" fontId="79" fillId="0" borderId="36" xfId="0" applyNumberFormat="1" applyFont="1" applyBorder="1" applyAlignment="1">
      <alignment horizontal="right"/>
    </xf>
    <xf numFmtId="0" fontId="80" fillId="0" borderId="86" xfId="0" applyFont="1" applyBorder="1" applyAlignment="1">
      <alignment horizontal="center"/>
    </xf>
    <xf numFmtId="3" fontId="80" fillId="0" borderId="21" xfId="0" applyNumberFormat="1" applyFont="1" applyBorder="1"/>
    <xf numFmtId="4" fontId="80" fillId="0" borderId="81" xfId="0" applyNumberFormat="1" applyFont="1" applyBorder="1"/>
    <xf numFmtId="3" fontId="80" fillId="0" borderId="45" xfId="0" applyNumberFormat="1" applyFont="1" applyBorder="1"/>
    <xf numFmtId="3" fontId="79" fillId="0" borderId="51" xfId="0" applyNumberFormat="1" applyFont="1" applyBorder="1"/>
    <xf numFmtId="4" fontId="79" fillId="0" borderId="67" xfId="0" applyNumberFormat="1" applyFont="1" applyBorder="1"/>
    <xf numFmtId="3" fontId="79" fillId="0" borderId="34" xfId="0" applyNumberFormat="1" applyFont="1" applyBorder="1"/>
    <xf numFmtId="3" fontId="80" fillId="0" borderId="15" xfId="0" applyNumberFormat="1" applyFont="1" applyBorder="1"/>
    <xf numFmtId="3" fontId="79" fillId="0" borderId="61" xfId="0" applyNumberFormat="1" applyFont="1" applyBorder="1"/>
    <xf numFmtId="3" fontId="79" fillId="0" borderId="15" xfId="0" applyNumberFormat="1" applyFont="1" applyBorder="1" applyAlignment="1">
      <alignment horizontal="right"/>
    </xf>
    <xf numFmtId="3" fontId="80" fillId="0" borderId="61" xfId="0" applyNumberFormat="1" applyFont="1" applyBorder="1"/>
    <xf numFmtId="3" fontId="80" fillId="0" borderId="21" xfId="0" applyNumberFormat="1" applyFont="1" applyBorder="1" applyAlignment="1">
      <alignment horizontal="right"/>
    </xf>
    <xf numFmtId="4" fontId="80" fillId="0" borderId="54" xfId="0" applyNumberFormat="1" applyFont="1" applyBorder="1"/>
    <xf numFmtId="4" fontId="80" fillId="0" borderId="53" xfId="0" applyNumberFormat="1" applyFont="1" applyBorder="1"/>
    <xf numFmtId="3" fontId="79" fillId="30" borderId="36" xfId="0" applyNumberFormat="1" applyFont="1" applyFill="1" applyBorder="1"/>
    <xf numFmtId="0" fontId="80" fillId="0" borderId="83" xfId="0" applyFont="1" applyBorder="1" applyAlignment="1">
      <alignment horizontal="center"/>
    </xf>
    <xf numFmtId="0" fontId="80" fillId="0" borderId="70" xfId="0" applyFont="1" applyBorder="1" applyAlignment="1">
      <alignment horizontal="center"/>
    </xf>
    <xf numFmtId="3" fontId="80" fillId="0" borderId="23" xfId="0" applyNumberFormat="1" applyFont="1" applyBorder="1"/>
    <xf numFmtId="3" fontId="80" fillId="0" borderId="83" xfId="0" applyNumberFormat="1" applyFont="1" applyBorder="1"/>
    <xf numFmtId="3" fontId="80" fillId="0" borderId="53" xfId="0" applyNumberFormat="1" applyFont="1" applyBorder="1"/>
    <xf numFmtId="3" fontId="82" fillId="0" borderId="38" xfId="0" applyNumberFormat="1" applyFont="1" applyBorder="1"/>
    <xf numFmtId="3" fontId="82" fillId="0" borderId="75" xfId="0" applyNumberFormat="1" applyFont="1" applyBorder="1"/>
    <xf numFmtId="3" fontId="80" fillId="0" borderId="75" xfId="0" applyNumberFormat="1" applyFont="1" applyBorder="1"/>
    <xf numFmtId="4" fontId="80" fillId="0" borderId="75" xfId="0" applyNumberFormat="1" applyFont="1" applyBorder="1"/>
    <xf numFmtId="3" fontId="82" fillId="0" borderId="26" xfId="0" applyNumberFormat="1" applyFont="1" applyBorder="1"/>
    <xf numFmtId="3" fontId="82" fillId="0" borderId="78" xfId="0" applyNumberFormat="1" applyFont="1" applyBorder="1"/>
    <xf numFmtId="3" fontId="80" fillId="0" borderId="78" xfId="0" applyNumberFormat="1" applyFont="1" applyBorder="1"/>
    <xf numFmtId="4" fontId="80" fillId="0" borderId="78" xfId="0" applyNumberFormat="1" applyFont="1" applyBorder="1"/>
    <xf numFmtId="3" fontId="82" fillId="0" borderId="110" xfId="0" applyNumberFormat="1" applyFont="1" applyBorder="1"/>
    <xf numFmtId="3" fontId="79" fillId="0" borderId="38" xfId="0" applyNumberFormat="1" applyFont="1" applyBorder="1"/>
    <xf numFmtId="3" fontId="79" fillId="0" borderId="75" xfId="0" applyNumberFormat="1" applyFont="1" applyBorder="1"/>
    <xf numFmtId="4" fontId="79" fillId="0" borderId="75" xfId="0" applyNumberFormat="1" applyFont="1" applyBorder="1"/>
    <xf numFmtId="3" fontId="79" fillId="0" borderId="40" xfId="0" applyNumberFormat="1" applyFont="1" applyBorder="1"/>
    <xf numFmtId="3" fontId="79" fillId="0" borderId="73" xfId="0" applyNumberFormat="1" applyFont="1" applyBorder="1"/>
    <xf numFmtId="4" fontId="79" fillId="0" borderId="73" xfId="0" applyNumberFormat="1" applyFont="1" applyBorder="1"/>
    <xf numFmtId="3" fontId="83" fillId="0" borderId="73" xfId="0" applyNumberFormat="1" applyFont="1" applyBorder="1"/>
    <xf numFmtId="3" fontId="80" fillId="0" borderId="26" xfId="0" applyNumberFormat="1" applyFont="1" applyBorder="1"/>
    <xf numFmtId="3" fontId="80" fillId="0" borderId="18" xfId="0" applyNumberFormat="1" applyFont="1" applyBorder="1"/>
    <xf numFmtId="4" fontId="80" fillId="0" borderId="69" xfId="0" applyNumberFormat="1" applyFont="1" applyBorder="1"/>
    <xf numFmtId="3" fontId="79" fillId="0" borderId="50" xfId="0" applyNumberFormat="1" applyFont="1" applyBorder="1"/>
    <xf numFmtId="3" fontId="79" fillId="0" borderId="18" xfId="0" applyNumberFormat="1" applyFont="1" applyBorder="1"/>
    <xf numFmtId="3" fontId="79" fillId="0" borderId="69" xfId="0" applyNumberFormat="1" applyFont="1" applyBorder="1"/>
    <xf numFmtId="3" fontId="80" fillId="0" borderId="38" xfId="0" applyNumberFormat="1" applyFont="1" applyBorder="1"/>
    <xf numFmtId="3" fontId="79" fillId="0" borderId="62" xfId="0" applyNumberFormat="1" applyFont="1" applyBorder="1"/>
    <xf numFmtId="3" fontId="79" fillId="0" borderId="72" xfId="0" applyNumberFormat="1" applyFont="1" applyBorder="1"/>
    <xf numFmtId="3" fontId="80" fillId="0" borderId="17" xfId="0" applyNumberFormat="1" applyFont="1" applyBorder="1"/>
    <xf numFmtId="3" fontId="80" fillId="0" borderId="76" xfId="0" applyNumberFormat="1" applyFont="1" applyBorder="1"/>
    <xf numFmtId="4" fontId="80" fillId="0" borderId="76" xfId="0" applyNumberFormat="1" applyFont="1" applyBorder="1"/>
    <xf numFmtId="4" fontId="80" fillId="0" borderId="87" xfId="0" applyNumberFormat="1" applyFont="1" applyBorder="1"/>
    <xf numFmtId="3" fontId="79" fillId="0" borderId="19" xfId="0" applyNumberFormat="1" applyFont="1" applyBorder="1"/>
    <xf numFmtId="3" fontId="79" fillId="0" borderId="70" xfId="0" applyNumberFormat="1" applyFont="1" applyBorder="1"/>
    <xf numFmtId="3" fontId="79" fillId="0" borderId="16" xfId="0" applyNumberFormat="1" applyFont="1" applyBorder="1"/>
    <xf numFmtId="4" fontId="79" fillId="0" borderId="87" xfId="0" applyNumberFormat="1" applyFont="1" applyBorder="1"/>
    <xf numFmtId="3" fontId="80" fillId="0" borderId="93" xfId="0" applyNumberFormat="1" applyFont="1" applyBorder="1"/>
    <xf numFmtId="3" fontId="80" fillId="0" borderId="77" xfId="0" applyNumberFormat="1" applyFont="1" applyBorder="1"/>
    <xf numFmtId="4" fontId="79" fillId="0" borderId="85" xfId="0" applyNumberFormat="1" applyFont="1" applyBorder="1"/>
    <xf numFmtId="3" fontId="80" fillId="0" borderId="0" xfId="0" applyNumberFormat="1" applyFont="1"/>
    <xf numFmtId="3" fontId="80" fillId="0" borderId="69" xfId="0" applyNumberFormat="1" applyFont="1" applyBorder="1"/>
    <xf numFmtId="3" fontId="80" fillId="0" borderId="77" xfId="0" applyNumberFormat="1" applyFont="1" applyBorder="1" applyProtection="1">
      <protection locked="0"/>
    </xf>
    <xf numFmtId="3" fontId="80" fillId="0" borderId="83" xfId="0" applyNumberFormat="1" applyFont="1" applyBorder="1" applyProtection="1">
      <protection locked="0"/>
    </xf>
    <xf numFmtId="3" fontId="80" fillId="0" borderId="46" xfId="0" applyNumberFormat="1" applyFont="1" applyBorder="1" applyProtection="1">
      <protection locked="0"/>
    </xf>
    <xf numFmtId="3" fontId="80" fillId="0" borderId="69" xfId="0" applyNumberFormat="1" applyFont="1" applyBorder="1" applyProtection="1">
      <protection locked="0"/>
    </xf>
    <xf numFmtId="3" fontId="80" fillId="0" borderId="0" xfId="0" applyNumberFormat="1" applyFont="1" applyProtection="1">
      <protection locked="0"/>
    </xf>
    <xf numFmtId="4" fontId="80" fillId="0" borderId="86" xfId="0" applyNumberFormat="1" applyFont="1" applyBorder="1"/>
    <xf numFmtId="3" fontId="79" fillId="0" borderId="73" xfId="0" applyNumberFormat="1" applyFont="1" applyBorder="1" applyProtection="1">
      <protection locked="0"/>
    </xf>
    <xf numFmtId="4" fontId="79" fillId="0" borderId="79" xfId="0" applyNumberFormat="1" applyFont="1" applyBorder="1"/>
    <xf numFmtId="4" fontId="80" fillId="0" borderId="73" xfId="0" applyNumberFormat="1" applyFont="1" applyBorder="1"/>
    <xf numFmtId="0" fontId="80" fillId="0" borderId="46" xfId="0" applyFont="1" applyBorder="1" applyAlignment="1">
      <alignment horizontal="center"/>
    </xf>
    <xf numFmtId="0" fontId="80" fillId="28" borderId="83" xfId="0" applyFont="1" applyFill="1" applyBorder="1" applyAlignment="1">
      <alignment horizontal="center"/>
    </xf>
    <xf numFmtId="3" fontId="80" fillId="0" borderId="73" xfId="0" applyNumberFormat="1" applyFont="1" applyBorder="1" applyProtection="1">
      <protection locked="0"/>
    </xf>
    <xf numFmtId="4" fontId="80" fillId="0" borderId="83" xfId="0" applyNumberFormat="1" applyFont="1" applyBorder="1"/>
    <xf numFmtId="3" fontId="79" fillId="0" borderId="75" xfId="0" applyNumberFormat="1" applyFont="1" applyBorder="1" applyProtection="1">
      <protection locked="0"/>
    </xf>
    <xf numFmtId="3" fontId="79" fillId="0" borderId="72" xfId="0" applyNumberFormat="1" applyFont="1" applyBorder="1" applyProtection="1">
      <protection locked="0"/>
    </xf>
    <xf numFmtId="0" fontId="79" fillId="0" borderId="73" xfId="0" applyFont="1" applyBorder="1"/>
    <xf numFmtId="3" fontId="80" fillId="0" borderId="76" xfId="0" applyNumberFormat="1" applyFont="1" applyBorder="1" applyProtection="1">
      <protection locked="0"/>
    </xf>
    <xf numFmtId="0" fontId="79" fillId="0" borderId="83" xfId="0" applyFont="1" applyBorder="1"/>
    <xf numFmtId="0" fontId="79" fillId="0" borderId="69" xfId="0" applyFont="1" applyBorder="1"/>
    <xf numFmtId="3" fontId="79" fillId="0" borderId="69" xfId="0" applyNumberFormat="1" applyFont="1" applyBorder="1" applyProtection="1">
      <protection locked="0"/>
    </xf>
    <xf numFmtId="0" fontId="80" fillId="0" borderId="53" xfId="0" applyFont="1" applyBorder="1" applyAlignment="1">
      <alignment horizontal="center"/>
    </xf>
    <xf numFmtId="0" fontId="80" fillId="0" borderId="43" xfId="0" applyFont="1" applyBorder="1" applyAlignment="1">
      <alignment horizontal="center"/>
    </xf>
    <xf numFmtId="0" fontId="80" fillId="28" borderId="61" xfId="0" applyFont="1" applyFill="1" applyBorder="1" applyAlignment="1">
      <alignment horizontal="center"/>
    </xf>
    <xf numFmtId="0" fontId="80" fillId="0" borderId="28" xfId="0" applyFont="1" applyBorder="1" applyAlignment="1">
      <alignment horizontal="center"/>
    </xf>
    <xf numFmtId="3" fontId="79" fillId="0" borderId="35" xfId="0" applyNumberFormat="1" applyFont="1" applyBorder="1"/>
    <xf numFmtId="3" fontId="79" fillId="0" borderId="64" xfId="0" applyNumberFormat="1" applyFont="1" applyBorder="1"/>
    <xf numFmtId="2" fontId="79" fillId="0" borderId="67" xfId="0" applyNumberFormat="1" applyFont="1" applyBorder="1"/>
    <xf numFmtId="3" fontId="80" fillId="0" borderId="44" xfId="0" applyNumberFormat="1" applyFont="1" applyBorder="1"/>
    <xf numFmtId="2" fontId="80" fillId="0" borderId="54" xfId="0" applyNumberFormat="1" applyFont="1" applyBorder="1"/>
    <xf numFmtId="3" fontId="79" fillId="0" borderId="109" xfId="0" applyNumberFormat="1" applyFont="1" applyBorder="1"/>
    <xf numFmtId="3" fontId="79" fillId="0" borderId="29" xfId="0" applyNumberFormat="1" applyFont="1" applyBorder="1"/>
    <xf numFmtId="2" fontId="80" fillId="0" borderId="56" xfId="0" applyNumberFormat="1" applyFont="1" applyBorder="1"/>
    <xf numFmtId="2" fontId="80" fillId="0" borderId="60" xfId="0" applyNumberFormat="1" applyFont="1" applyBorder="1"/>
    <xf numFmtId="0" fontId="80" fillId="28" borderId="53" xfId="0" applyFont="1" applyFill="1" applyBorder="1" applyAlignment="1">
      <alignment horizontal="center"/>
    </xf>
    <xf numFmtId="0" fontId="80" fillId="28" borderId="28" xfId="0" applyFont="1" applyFill="1" applyBorder="1" applyAlignment="1">
      <alignment horizontal="center"/>
    </xf>
    <xf numFmtId="0" fontId="80" fillId="0" borderId="0" xfId="0" applyFont="1"/>
    <xf numFmtId="4" fontId="80" fillId="0" borderId="0" xfId="0" applyNumberFormat="1" applyFont="1"/>
    <xf numFmtId="3" fontId="80" fillId="0" borderId="60" xfId="0" applyNumberFormat="1" applyFont="1" applyBorder="1"/>
    <xf numFmtId="4" fontId="80" fillId="0" borderId="60" xfId="0" applyNumberFormat="1" applyFont="1" applyBorder="1"/>
    <xf numFmtId="0" fontId="80" fillId="28" borderId="70" xfId="0" applyFont="1" applyFill="1" applyBorder="1" applyAlignment="1">
      <alignment horizontal="center"/>
    </xf>
    <xf numFmtId="0" fontId="80" fillId="0" borderId="69" xfId="0" applyFont="1" applyBorder="1" applyAlignment="1">
      <alignment horizontal="center"/>
    </xf>
    <xf numFmtId="3" fontId="79" fillId="0" borderId="75" xfId="0" applyNumberFormat="1" applyFont="1" applyBorder="1" applyAlignment="1">
      <alignment horizontal="right"/>
    </xf>
    <xf numFmtId="3" fontId="83" fillId="0" borderId="75" xfId="0" applyNumberFormat="1" applyFont="1" applyBorder="1" applyAlignment="1">
      <alignment horizontal="right"/>
    </xf>
    <xf numFmtId="4" fontId="80" fillId="0" borderId="70" xfId="0" applyNumberFormat="1" applyFont="1" applyBorder="1" applyAlignment="1">
      <alignment horizontal="right"/>
    </xf>
    <xf numFmtId="4" fontId="80" fillId="0" borderId="89" xfId="0" applyNumberFormat="1" applyFont="1" applyBorder="1"/>
    <xf numFmtId="3" fontId="79" fillId="0" borderId="45" xfId="0" applyNumberFormat="1" applyFont="1" applyBorder="1"/>
    <xf numFmtId="3" fontId="79" fillId="0" borderId="46" xfId="0" applyNumberFormat="1" applyFont="1" applyBorder="1"/>
    <xf numFmtId="4" fontId="79" fillId="0" borderId="27" xfId="0" applyNumberFormat="1" applyFont="1" applyBorder="1"/>
    <xf numFmtId="4" fontId="79" fillId="0" borderId="71" xfId="0" applyNumberFormat="1" applyFont="1" applyBorder="1"/>
    <xf numFmtId="3" fontId="79" fillId="0" borderId="52" xfId="0" applyNumberFormat="1" applyFont="1" applyBorder="1"/>
    <xf numFmtId="0" fontId="80" fillId="0" borderId="27" xfId="0" applyFont="1" applyBorder="1" applyAlignment="1">
      <alignment horizontal="center"/>
    </xf>
    <xf numFmtId="3" fontId="79" fillId="0" borderId="0" xfId="0" applyNumberFormat="1" applyFont="1"/>
    <xf numFmtId="3" fontId="80" fillId="0" borderId="48" xfId="0" applyNumberFormat="1" applyFont="1" applyBorder="1"/>
    <xf numFmtId="3" fontId="80" fillId="0" borderId="33" xfId="0" applyNumberFormat="1" applyFont="1" applyBorder="1"/>
    <xf numFmtId="0" fontId="80" fillId="0" borderId="93" xfId="0" applyFont="1" applyBorder="1"/>
    <xf numFmtId="3" fontId="79" fillId="0" borderId="114" xfId="0" applyNumberFormat="1" applyFont="1" applyBorder="1"/>
    <xf numFmtId="2" fontId="79" fillId="0" borderId="59" xfId="0" applyNumberFormat="1" applyFont="1" applyBorder="1"/>
    <xf numFmtId="3" fontId="79" fillId="0" borderId="21" xfId="0" applyNumberFormat="1" applyFont="1" applyBorder="1"/>
    <xf numFmtId="2" fontId="79" fillId="0" borderId="27" xfId="0" applyNumberFormat="1" applyFont="1" applyBorder="1"/>
    <xf numFmtId="3" fontId="80" fillId="0" borderId="32" xfId="0" applyNumberFormat="1" applyFont="1" applyBorder="1"/>
    <xf numFmtId="3" fontId="80" fillId="0" borderId="49" xfId="0" applyNumberFormat="1" applyFont="1" applyBorder="1"/>
    <xf numFmtId="4" fontId="80" fillId="0" borderId="58" xfId="0" applyNumberFormat="1" applyFont="1" applyBorder="1"/>
    <xf numFmtId="3" fontId="83" fillId="0" borderId="36" xfId="0" applyNumberFormat="1" applyFont="1" applyBorder="1"/>
    <xf numFmtId="4" fontId="83" fillId="0" borderId="68" xfId="0" applyNumberFormat="1" applyFont="1" applyBorder="1"/>
    <xf numFmtId="2" fontId="83" fillId="0" borderId="67" xfId="0" applyNumberFormat="1" applyFont="1" applyBorder="1"/>
    <xf numFmtId="3" fontId="83" fillId="0" borderId="51" xfId="0" applyNumberFormat="1" applyFont="1" applyBorder="1"/>
    <xf numFmtId="3" fontId="83" fillId="0" borderId="65" xfId="0" applyNumberFormat="1" applyFont="1" applyBorder="1"/>
    <xf numFmtId="3" fontId="83" fillId="0" borderId="34" xfId="0" applyNumberFormat="1" applyFont="1" applyBorder="1"/>
    <xf numFmtId="2" fontId="83" fillId="0" borderId="68" xfId="0" applyNumberFormat="1" applyFont="1" applyBorder="1"/>
    <xf numFmtId="3" fontId="83" fillId="0" borderId="109" xfId="0" applyNumberFormat="1" applyFont="1" applyBorder="1"/>
    <xf numFmtId="3" fontId="79" fillId="0" borderId="65" xfId="0" applyNumberFormat="1" applyFont="1" applyBorder="1"/>
    <xf numFmtId="3" fontId="83" fillId="30" borderId="34" xfId="0" applyNumberFormat="1" applyFont="1" applyFill="1" applyBorder="1"/>
    <xf numFmtId="3" fontId="80" fillId="0" borderId="82" xfId="0" applyNumberFormat="1" applyFont="1" applyBorder="1"/>
    <xf numFmtId="3" fontId="81" fillId="0" borderId="82" xfId="0" applyNumberFormat="1" applyFont="1" applyBorder="1"/>
    <xf numFmtId="2" fontId="81" fillId="0" borderId="56" xfId="0" applyNumberFormat="1" applyFont="1" applyBorder="1"/>
    <xf numFmtId="3" fontId="80" fillId="0" borderId="47" xfId="0" applyNumberFormat="1" applyFont="1" applyBorder="1"/>
    <xf numFmtId="3" fontId="81" fillId="0" borderId="47" xfId="0" applyNumberFormat="1" applyFont="1" applyBorder="1"/>
    <xf numFmtId="2" fontId="81" fillId="0" borderId="27" xfId="0" applyNumberFormat="1" applyFont="1" applyBorder="1"/>
    <xf numFmtId="3" fontId="81" fillId="0" borderId="48" xfId="0" applyNumberFormat="1" applyFont="1" applyBorder="1"/>
    <xf numFmtId="2" fontId="81" fillId="0" borderId="60" xfId="0" applyNumberFormat="1" applyFont="1" applyBorder="1"/>
    <xf numFmtId="2" fontId="79" fillId="0" borderId="71" xfId="0" applyNumberFormat="1" applyFont="1" applyBorder="1"/>
    <xf numFmtId="3" fontId="79" fillId="0" borderId="116" xfId="0" applyNumberFormat="1" applyFont="1" applyBorder="1" applyProtection="1">
      <protection locked="0"/>
    </xf>
    <xf numFmtId="3" fontId="79" fillId="0" borderId="109" xfId="0" applyNumberFormat="1" applyFont="1" applyBorder="1" applyProtection="1">
      <protection locked="0"/>
    </xf>
    <xf numFmtId="3" fontId="79" fillId="0" borderId="34" xfId="0" applyNumberFormat="1" applyFont="1" applyBorder="1" applyProtection="1">
      <protection locked="0"/>
    </xf>
    <xf numFmtId="3" fontId="79" fillId="0" borderId="29" xfId="0" applyNumberFormat="1" applyFont="1" applyBorder="1" applyProtection="1">
      <protection locked="0"/>
    </xf>
    <xf numFmtId="3" fontId="79" fillId="0" borderId="73" xfId="77" applyNumberFormat="1" applyFont="1" applyBorder="1" applyAlignment="1">
      <alignment horizontal="right"/>
    </xf>
    <xf numFmtId="4" fontId="79" fillId="0" borderId="73" xfId="77" applyNumberFormat="1" applyFont="1" applyBorder="1" applyAlignment="1">
      <alignment horizontal="right"/>
    </xf>
    <xf numFmtId="3" fontId="82" fillId="0" borderId="78" xfId="0" applyNumberFormat="1" applyFont="1" applyBorder="1" applyAlignment="1">
      <alignment horizontal="right"/>
    </xf>
    <xf numFmtId="4" fontId="82" fillId="0" borderId="78" xfId="77" applyNumberFormat="1" applyFont="1" applyBorder="1" applyAlignment="1">
      <alignment horizontal="right"/>
    </xf>
    <xf numFmtId="3" fontId="82" fillId="0" borderId="119" xfId="0" applyNumberFormat="1" applyFont="1" applyBorder="1" applyAlignment="1">
      <alignment horizontal="right"/>
    </xf>
    <xf numFmtId="4" fontId="82" fillId="0" borderId="119" xfId="77" applyNumberFormat="1" applyFont="1" applyBorder="1" applyAlignment="1">
      <alignment horizontal="right"/>
    </xf>
    <xf numFmtId="3" fontId="80" fillId="0" borderId="106" xfId="0" applyNumberFormat="1" applyFont="1" applyBorder="1" applyAlignment="1">
      <alignment horizontal="right"/>
    </xf>
    <xf numFmtId="4" fontId="82" fillId="0" borderId="106" xfId="77" applyNumberFormat="1" applyFont="1" applyBorder="1" applyAlignment="1">
      <alignment horizontal="right"/>
    </xf>
    <xf numFmtId="3" fontId="82" fillId="0" borderId="75" xfId="0" applyNumberFormat="1" applyFont="1" applyBorder="1" applyAlignment="1">
      <alignment horizontal="right"/>
    </xf>
    <xf numFmtId="4" fontId="79" fillId="0" borderId="75" xfId="77" applyNumberFormat="1" applyFont="1" applyBorder="1" applyAlignment="1">
      <alignment horizontal="right"/>
    </xf>
    <xf numFmtId="4" fontId="79" fillId="0" borderId="72" xfId="77" applyNumberFormat="1" applyFont="1" applyBorder="1" applyAlignment="1">
      <alignment horizontal="right"/>
    </xf>
    <xf numFmtId="3" fontId="80" fillId="0" borderId="113" xfId="77" applyNumberFormat="1" applyFont="1" applyBorder="1" applyAlignment="1">
      <alignment horizontal="right"/>
    </xf>
    <xf numFmtId="4" fontId="80" fillId="0" borderId="69" xfId="77" applyNumberFormat="1" applyFont="1" applyBorder="1" applyAlignment="1">
      <alignment horizontal="right"/>
    </xf>
    <xf numFmtId="3" fontId="80" fillId="0" borderId="78" xfId="77" applyNumberFormat="1" applyFont="1" applyBorder="1"/>
    <xf numFmtId="4" fontId="80" fillId="0" borderId="78" xfId="77" applyNumberFormat="1" applyFont="1" applyBorder="1"/>
    <xf numFmtId="3" fontId="79" fillId="0" borderId="73" xfId="77" applyNumberFormat="1" applyFont="1" applyBorder="1"/>
    <xf numFmtId="2" fontId="79" fillId="0" borderId="73" xfId="77" applyNumberFormat="1" applyFont="1" applyBorder="1"/>
    <xf numFmtId="3" fontId="80" fillId="0" borderId="77" xfId="0" applyNumberFormat="1" applyFont="1" applyBorder="1" applyAlignment="1">
      <alignment horizontal="right"/>
    </xf>
    <xf numFmtId="4" fontId="80" fillId="0" borderId="77" xfId="0" applyNumberFormat="1" applyFont="1" applyBorder="1" applyAlignment="1">
      <alignment horizontal="right"/>
    </xf>
    <xf numFmtId="3" fontId="80" fillId="0" borderId="69" xfId="77" applyNumberFormat="1" applyFont="1" applyBorder="1"/>
    <xf numFmtId="4" fontId="80" fillId="0" borderId="78" xfId="0" applyNumberFormat="1" applyFont="1" applyBorder="1" applyAlignment="1">
      <alignment horizontal="right"/>
    </xf>
    <xf numFmtId="3" fontId="80" fillId="0" borderId="76" xfId="77" applyNumberFormat="1" applyFont="1" applyBorder="1"/>
    <xf numFmtId="3" fontId="79" fillId="0" borderId="15" xfId="77" applyNumberFormat="1" applyFont="1" applyBorder="1" applyAlignment="1">
      <alignment horizontal="center"/>
    </xf>
    <xf numFmtId="3" fontId="79" fillId="0" borderId="15" xfId="77" applyNumberFormat="1" applyFont="1" applyBorder="1"/>
    <xf numFmtId="3" fontId="79" fillId="0" borderId="36" xfId="77" applyNumberFormat="1" applyFont="1" applyBorder="1" applyAlignment="1">
      <alignment horizontal="right"/>
    </xf>
    <xf numFmtId="3" fontId="83" fillId="0" borderId="36" xfId="77" applyNumberFormat="1" applyFont="1" applyBorder="1"/>
    <xf numFmtId="3" fontId="80" fillId="0" borderId="32" xfId="77" applyNumberFormat="1" applyFont="1" applyBorder="1"/>
    <xf numFmtId="3" fontId="79" fillId="0" borderId="36" xfId="77" applyNumberFormat="1" applyFont="1" applyBorder="1"/>
    <xf numFmtId="3" fontId="79" fillId="0" borderId="52" xfId="77" applyNumberFormat="1" applyFont="1" applyBorder="1" applyAlignment="1">
      <alignment horizontal="right"/>
    </xf>
    <xf numFmtId="3" fontId="79" fillId="0" borderId="51" xfId="77" applyNumberFormat="1" applyFont="1" applyBorder="1"/>
    <xf numFmtId="3" fontId="79" fillId="0" borderId="39" xfId="77" applyNumberFormat="1" applyFont="1" applyBorder="1"/>
    <xf numFmtId="3" fontId="83" fillId="0" borderId="51" xfId="77" applyNumberFormat="1" applyFont="1" applyBorder="1"/>
    <xf numFmtId="3" fontId="83" fillId="0" borderId="122" xfId="77" applyNumberFormat="1" applyFont="1" applyBorder="1"/>
    <xf numFmtId="3" fontId="79" fillId="0" borderId="51" xfId="77" applyNumberFormat="1" applyFont="1" applyBorder="1" applyAlignment="1">
      <alignment horizontal="right"/>
    </xf>
    <xf numFmtId="3" fontId="79" fillId="0" borderId="52" xfId="77" applyNumberFormat="1" applyFont="1" applyBorder="1"/>
    <xf numFmtId="3" fontId="80" fillId="0" borderId="36" xfId="77" applyNumberFormat="1" applyFont="1" applyBorder="1" applyAlignment="1">
      <alignment horizontal="right"/>
    </xf>
    <xf numFmtId="3" fontId="80" fillId="0" borderId="32" xfId="77" applyNumberFormat="1" applyFont="1" applyBorder="1" applyAlignment="1">
      <alignment horizontal="right"/>
    </xf>
    <xf numFmtId="3" fontId="80" fillId="0" borderId="123" xfId="77" applyNumberFormat="1" applyFont="1" applyBorder="1" applyAlignment="1">
      <alignment horizontal="right"/>
    </xf>
    <xf numFmtId="3" fontId="80" fillId="0" borderId="134" xfId="77" applyNumberFormat="1" applyFont="1" applyBorder="1" applyAlignment="1">
      <alignment horizontal="right"/>
    </xf>
    <xf numFmtId="3" fontId="80" fillId="0" borderId="15" xfId="77" applyNumberFormat="1" applyFont="1" applyBorder="1"/>
    <xf numFmtId="3" fontId="79" fillId="0" borderId="112" xfId="77" applyNumberFormat="1" applyFont="1" applyBorder="1"/>
    <xf numFmtId="3" fontId="80" fillId="0" borderId="43" xfId="77" applyNumberFormat="1" applyFont="1" applyBorder="1"/>
    <xf numFmtId="3" fontId="80" fillId="0" borderId="21" xfId="77" applyNumberFormat="1" applyFont="1" applyBorder="1"/>
    <xf numFmtId="2" fontId="80" fillId="0" borderId="54" xfId="77" applyNumberFormat="1" applyFont="1" applyBorder="1"/>
    <xf numFmtId="3" fontId="79" fillId="30" borderId="72" xfId="0" applyNumberFormat="1" applyFont="1" applyFill="1" applyBorder="1"/>
    <xf numFmtId="3" fontId="79" fillId="30" borderId="51" xfId="0" applyNumberFormat="1" applyFont="1" applyFill="1" applyBorder="1"/>
    <xf numFmtId="3" fontId="80" fillId="0" borderId="58" xfId="77" applyNumberFormat="1" applyFont="1" applyBorder="1"/>
    <xf numFmtId="2" fontId="79" fillId="0" borderId="68" xfId="77" applyNumberFormat="1" applyFont="1" applyBorder="1"/>
    <xf numFmtId="0" fontId="80" fillId="0" borderId="77" xfId="0" applyFont="1" applyBorder="1" applyAlignment="1">
      <alignment horizontal="center"/>
    </xf>
    <xf numFmtId="3" fontId="71" fillId="0" borderId="19" xfId="0" applyNumberFormat="1" applyFont="1" applyBorder="1" applyAlignment="1">
      <alignment horizontal="center"/>
    </xf>
    <xf numFmtId="3" fontId="79" fillId="30" borderId="65" xfId="0" applyNumberFormat="1" applyFont="1" applyFill="1" applyBorder="1"/>
    <xf numFmtId="3" fontId="83" fillId="30" borderId="65" xfId="0" applyNumberFormat="1" applyFont="1" applyFill="1" applyBorder="1"/>
    <xf numFmtId="3" fontId="83" fillId="30" borderId="36" xfId="77" applyNumberFormat="1" applyFont="1" applyFill="1" applyBorder="1"/>
    <xf numFmtId="3" fontId="79" fillId="30" borderId="36" xfId="77" applyNumberFormat="1" applyFont="1" applyFill="1" applyBorder="1" applyAlignment="1">
      <alignment horizontal="right"/>
    </xf>
    <xf numFmtId="3" fontId="79" fillId="0" borderId="37" xfId="0" applyNumberFormat="1" applyFont="1" applyBorder="1"/>
    <xf numFmtId="0" fontId="85" fillId="30" borderId="40" xfId="0" applyFont="1" applyFill="1" applyBorder="1"/>
    <xf numFmtId="3" fontId="79" fillId="30" borderId="109" xfId="0" applyNumberFormat="1" applyFont="1" applyFill="1" applyBorder="1"/>
    <xf numFmtId="2" fontId="79" fillId="30" borderId="67" xfId="0" applyNumberFormat="1" applyFont="1" applyFill="1" applyBorder="1"/>
    <xf numFmtId="0" fontId="85" fillId="0" borderId="40" xfId="0" applyFont="1" applyBorder="1"/>
    <xf numFmtId="0" fontId="85" fillId="0" borderId="40" xfId="0" applyFont="1" applyBorder="1" applyAlignment="1">
      <alignment horizontal="justify"/>
    </xf>
    <xf numFmtId="3" fontId="79" fillId="30" borderId="65" xfId="0" applyNumberFormat="1" applyFont="1" applyFill="1" applyBorder="1" applyProtection="1">
      <protection locked="0"/>
    </xf>
    <xf numFmtId="3" fontId="79" fillId="30" borderId="52" xfId="0" applyNumberFormat="1" applyFont="1" applyFill="1" applyBorder="1"/>
    <xf numFmtId="2" fontId="79" fillId="30" borderId="108" xfId="0" applyNumberFormat="1" applyFont="1" applyFill="1" applyBorder="1"/>
    <xf numFmtId="2" fontId="79" fillId="0" borderId="130" xfId="0" applyNumberFormat="1" applyFont="1" applyBorder="1"/>
    <xf numFmtId="2" fontId="79" fillId="30" borderId="68" xfId="0" applyNumberFormat="1" applyFont="1" applyFill="1" applyBorder="1"/>
    <xf numFmtId="3" fontId="80" fillId="0" borderId="59" xfId="0" applyNumberFormat="1" applyFont="1" applyBorder="1" applyAlignment="1">
      <alignment horizontal="center"/>
    </xf>
    <xf numFmtId="4" fontId="79" fillId="30" borderId="71" xfId="0" applyNumberFormat="1" applyFont="1" applyFill="1" applyBorder="1"/>
    <xf numFmtId="3" fontId="83" fillId="30" borderId="36" xfId="0" applyNumberFormat="1" applyFont="1" applyFill="1" applyBorder="1"/>
    <xf numFmtId="4" fontId="83" fillId="30" borderId="68" xfId="0" applyNumberFormat="1" applyFont="1" applyFill="1" applyBorder="1"/>
    <xf numFmtId="3" fontId="82" fillId="0" borderId="119" xfId="0" applyNumberFormat="1" applyFont="1" applyBorder="1"/>
    <xf numFmtId="3" fontId="84" fillId="0" borderId="29" xfId="0" applyNumberFormat="1" applyFont="1" applyBorder="1"/>
    <xf numFmtId="3" fontId="8" fillId="30" borderId="0" xfId="0" applyNumberFormat="1" applyFont="1" applyFill="1"/>
    <xf numFmtId="0" fontId="79" fillId="0" borderId="72" xfId="0" applyFont="1" applyBorder="1"/>
    <xf numFmtId="4" fontId="79" fillId="0" borderId="59" xfId="0" applyNumberFormat="1" applyFont="1" applyBorder="1"/>
    <xf numFmtId="3" fontId="84" fillId="0" borderId="73" xfId="77" applyNumberFormat="1" applyFont="1" applyBorder="1" applyAlignment="1">
      <alignment horizontal="right"/>
    </xf>
    <xf numFmtId="3" fontId="82" fillId="0" borderId="57" xfId="0" applyNumberFormat="1" applyFont="1" applyBorder="1"/>
    <xf numFmtId="3" fontId="82" fillId="0" borderId="89" xfId="0" applyNumberFormat="1" applyFont="1" applyBorder="1"/>
    <xf numFmtId="0" fontId="82" fillId="0" borderId="24" xfId="0" applyFont="1" applyBorder="1"/>
    <xf numFmtId="3" fontId="82" fillId="0" borderId="78" xfId="0" applyNumberFormat="1" applyFont="1" applyBorder="1" applyProtection="1">
      <protection locked="0"/>
    </xf>
    <xf numFmtId="3" fontId="72" fillId="0" borderId="46" xfId="0" applyNumberFormat="1" applyFont="1" applyBorder="1"/>
    <xf numFmtId="3" fontId="82" fillId="30" borderId="75" xfId="0" applyNumberFormat="1" applyFont="1" applyFill="1" applyBorder="1" applyAlignment="1">
      <alignment horizontal="right"/>
    </xf>
    <xf numFmtId="3" fontId="79" fillId="30" borderId="75" xfId="0" applyNumberFormat="1" applyFont="1" applyFill="1" applyBorder="1" applyAlignment="1">
      <alignment horizontal="right"/>
    </xf>
    <xf numFmtId="3" fontId="79" fillId="0" borderId="66" xfId="0" applyNumberFormat="1" applyFont="1" applyBorder="1"/>
    <xf numFmtId="0" fontId="85" fillId="0" borderId="62" xfId="0" applyFont="1" applyBorder="1"/>
    <xf numFmtId="3" fontId="35" fillId="30" borderId="0" xfId="0" applyNumberFormat="1" applyFont="1" applyFill="1" applyAlignment="1">
      <alignment wrapText="1"/>
    </xf>
    <xf numFmtId="3" fontId="79" fillId="0" borderId="127" xfId="0" applyNumberFormat="1" applyFont="1" applyBorder="1" applyProtection="1">
      <protection locked="0"/>
    </xf>
    <xf numFmtId="2" fontId="80" fillId="0" borderId="58" xfId="77" applyNumberFormat="1" applyFont="1" applyBorder="1"/>
    <xf numFmtId="2" fontId="79" fillId="0" borderId="59" xfId="77" applyNumberFormat="1" applyFont="1" applyBorder="1"/>
    <xf numFmtId="0" fontId="86" fillId="0" borderId="20" xfId="0" applyFont="1" applyBorder="1" applyAlignment="1">
      <alignment horizontal="justify" wrapText="1"/>
    </xf>
    <xf numFmtId="3" fontId="79" fillId="0" borderId="43" xfId="0" applyNumberFormat="1" applyFont="1" applyBorder="1"/>
    <xf numFmtId="2" fontId="79" fillId="0" borderId="54" xfId="0" applyNumberFormat="1" applyFont="1" applyBorder="1"/>
    <xf numFmtId="3" fontId="79" fillId="0" borderId="44" xfId="0" applyNumberFormat="1" applyFont="1" applyBorder="1"/>
    <xf numFmtId="4" fontId="80" fillId="0" borderId="113" xfId="0" applyNumberFormat="1" applyFont="1" applyBorder="1"/>
    <xf numFmtId="3" fontId="80" fillId="0" borderId="75" xfId="77" applyNumberFormat="1" applyFont="1" applyBorder="1"/>
    <xf numFmtId="4" fontId="80" fillId="0" borderId="70" xfId="0" applyNumberFormat="1" applyFont="1" applyBorder="1"/>
    <xf numFmtId="3" fontId="80" fillId="0" borderId="15" xfId="0" applyNumberFormat="1" applyFont="1" applyBorder="1" applyAlignment="1">
      <alignment horizontal="center"/>
    </xf>
    <xf numFmtId="3" fontId="79" fillId="0" borderId="132" xfId="0" applyNumberFormat="1" applyFont="1" applyBorder="1"/>
    <xf numFmtId="3" fontId="79" fillId="0" borderId="51" xfId="0" applyNumberFormat="1" applyFont="1" applyBorder="1" applyAlignment="1">
      <alignment horizontal="right"/>
    </xf>
    <xf numFmtId="4" fontId="83" fillId="30" borderId="67" xfId="0" applyNumberFormat="1" applyFont="1" applyFill="1" applyBorder="1" applyAlignment="1">
      <alignment horizontal="right"/>
    </xf>
    <xf numFmtId="3" fontId="79" fillId="0" borderId="51" xfId="78" applyNumberFormat="1" applyFont="1" applyBorder="1" applyAlignment="1">
      <alignment horizontal="right" wrapText="1"/>
    </xf>
    <xf numFmtId="3" fontId="83" fillId="30" borderId="36" xfId="0" applyNumberFormat="1" applyFont="1" applyFill="1" applyBorder="1" applyAlignment="1">
      <alignment horizontal="right"/>
    </xf>
    <xf numFmtId="3" fontId="79" fillId="0" borderId="52" xfId="0" applyNumberFormat="1" applyFont="1" applyBorder="1" applyAlignment="1">
      <alignment horizontal="right"/>
    </xf>
    <xf numFmtId="3" fontId="79" fillId="0" borderId="64" xfId="0" applyNumberFormat="1" applyFont="1" applyBorder="1" applyAlignment="1">
      <alignment horizontal="right"/>
    </xf>
    <xf numFmtId="3" fontId="80" fillId="0" borderId="61" xfId="0" applyNumberFormat="1" applyFont="1" applyBorder="1" applyAlignment="1">
      <alignment horizontal="right"/>
    </xf>
    <xf numFmtId="4" fontId="80" fillId="0" borderId="54" xfId="0" applyNumberFormat="1" applyFont="1" applyBorder="1" applyAlignment="1">
      <alignment horizontal="right"/>
    </xf>
    <xf numFmtId="3" fontId="80" fillId="0" borderId="55" xfId="0" applyNumberFormat="1" applyFont="1" applyBorder="1"/>
    <xf numFmtId="4" fontId="80" fillId="0" borderId="56" xfId="0" applyNumberFormat="1" applyFont="1" applyBorder="1"/>
    <xf numFmtId="3" fontId="79" fillId="0" borderId="55" xfId="0" applyNumberFormat="1" applyFont="1" applyBorder="1"/>
    <xf numFmtId="4" fontId="79" fillId="0" borderId="56" xfId="0" applyNumberFormat="1" applyFont="1" applyBorder="1"/>
    <xf numFmtId="4" fontId="83" fillId="30" borderId="68" xfId="0" applyNumberFormat="1" applyFont="1" applyFill="1" applyBorder="1" applyAlignment="1">
      <alignment horizontal="right"/>
    </xf>
    <xf numFmtId="4" fontId="80" fillId="0" borderId="59" xfId="0" applyNumberFormat="1" applyFont="1" applyBorder="1"/>
    <xf numFmtId="3" fontId="83" fillId="30" borderId="51" xfId="78" applyNumberFormat="1" applyFont="1" applyFill="1" applyBorder="1" applyAlignment="1">
      <alignment horizontal="right" wrapText="1"/>
    </xf>
    <xf numFmtId="3" fontId="83" fillId="0" borderId="51" xfId="0" applyNumberFormat="1" applyFont="1" applyBorder="1" applyAlignment="1">
      <alignment horizontal="right"/>
    </xf>
    <xf numFmtId="4" fontId="83" fillId="0" borderId="67" xfId="0" applyNumberFormat="1" applyFont="1" applyBorder="1" applyAlignment="1">
      <alignment horizontal="right"/>
    </xf>
    <xf numFmtId="3" fontId="83" fillId="0" borderId="15" xfId="0" applyNumberFormat="1" applyFont="1" applyBorder="1" applyAlignment="1">
      <alignment horizontal="right"/>
    </xf>
    <xf numFmtId="3" fontId="80" fillId="0" borderId="43" xfId="0" applyNumberFormat="1" applyFont="1" applyBorder="1" applyAlignment="1">
      <alignment horizontal="right"/>
    </xf>
    <xf numFmtId="3" fontId="79" fillId="30" borderId="51" xfId="78" applyNumberFormat="1" applyFont="1" applyFill="1" applyBorder="1" applyAlignment="1">
      <alignment horizontal="right" wrapText="1"/>
    </xf>
    <xf numFmtId="4" fontId="79" fillId="30" borderId="67" xfId="0" applyNumberFormat="1" applyFont="1" applyFill="1" applyBorder="1" applyAlignment="1">
      <alignment horizontal="right"/>
    </xf>
    <xf numFmtId="3" fontId="83" fillId="0" borderId="64" xfId="0" applyNumberFormat="1" applyFont="1" applyBorder="1" applyAlignment="1">
      <alignment horizontal="right"/>
    </xf>
    <xf numFmtId="0" fontId="86" fillId="0" borderId="20" xfId="0" applyFont="1" applyBorder="1" applyAlignment="1">
      <alignment horizontal="justify"/>
    </xf>
    <xf numFmtId="0" fontId="85" fillId="31" borderId="40" xfId="0" applyFont="1" applyFill="1" applyBorder="1"/>
    <xf numFmtId="3" fontId="80" fillId="0" borderId="29" xfId="0" applyNumberFormat="1" applyFont="1" applyBorder="1" applyAlignment="1">
      <alignment horizontal="center"/>
    </xf>
    <xf numFmtId="3" fontId="79" fillId="0" borderId="116" xfId="0" applyNumberFormat="1" applyFont="1" applyBorder="1"/>
    <xf numFmtId="3" fontId="79" fillId="0" borderId="33" xfId="0" applyNumberFormat="1" applyFont="1" applyBorder="1"/>
    <xf numFmtId="3" fontId="79" fillId="0" borderId="47" xfId="0" applyNumberFormat="1" applyFont="1" applyBorder="1"/>
    <xf numFmtId="3" fontId="79" fillId="0" borderId="109" xfId="0" applyNumberFormat="1" applyFont="1" applyBorder="1" applyAlignment="1">
      <alignment horizontal="right"/>
    </xf>
    <xf numFmtId="3" fontId="79" fillId="0" borderId="109" xfId="78" applyNumberFormat="1" applyFont="1" applyBorder="1" applyAlignment="1">
      <alignment horizontal="right" wrapText="1"/>
    </xf>
    <xf numFmtId="3" fontId="79" fillId="0" borderId="34" xfId="0" applyNumberFormat="1" applyFont="1" applyBorder="1" applyAlignment="1">
      <alignment horizontal="right"/>
    </xf>
    <xf numFmtId="3" fontId="79" fillId="0" borderId="29" xfId="0" applyNumberFormat="1" applyFont="1" applyBorder="1" applyAlignment="1">
      <alignment horizontal="right"/>
    </xf>
    <xf numFmtId="3" fontId="79" fillId="0" borderId="65" xfId="0" applyNumberFormat="1" applyFont="1" applyBorder="1" applyAlignment="1">
      <alignment horizontal="right"/>
    </xf>
    <xf numFmtId="3" fontId="79" fillId="0" borderId="35" xfId="0" applyNumberFormat="1" applyFont="1" applyBorder="1" applyAlignment="1">
      <alignment horizontal="right"/>
    </xf>
    <xf numFmtId="3" fontId="80" fillId="0" borderId="33" xfId="0" applyNumberFormat="1" applyFont="1" applyBorder="1" applyAlignment="1">
      <alignment horizontal="right"/>
    </xf>
    <xf numFmtId="3" fontId="80" fillId="0" borderId="48" xfId="0" applyNumberFormat="1" applyFont="1" applyBorder="1" applyAlignment="1">
      <alignment horizontal="right"/>
    </xf>
    <xf numFmtId="3" fontId="79" fillId="0" borderId="82" xfId="0" applyNumberFormat="1" applyFont="1" applyBorder="1"/>
    <xf numFmtId="3" fontId="80" fillId="0" borderId="29" xfId="0" applyNumberFormat="1" applyFont="1" applyBorder="1"/>
    <xf numFmtId="3" fontId="80" fillId="0" borderId="44" xfId="0" applyNumberFormat="1" applyFont="1" applyBorder="1" applyAlignment="1">
      <alignment horizontal="right"/>
    </xf>
    <xf numFmtId="0" fontId="80" fillId="0" borderId="44" xfId="0" applyFont="1" applyBorder="1" applyAlignment="1">
      <alignment horizontal="center"/>
    </xf>
    <xf numFmtId="2" fontId="80" fillId="0" borderId="93" xfId="0" applyNumberFormat="1" applyFont="1" applyBorder="1"/>
    <xf numFmtId="3" fontId="80" fillId="0" borderId="121" xfId="0" applyNumberFormat="1" applyFont="1" applyBorder="1"/>
    <xf numFmtId="0" fontId="79" fillId="0" borderId="93" xfId="0" applyFont="1" applyBorder="1"/>
    <xf numFmtId="4" fontId="79" fillId="0" borderId="93" xfId="0" applyNumberFormat="1" applyFont="1" applyBorder="1"/>
    <xf numFmtId="0" fontId="85" fillId="0" borderId="38" xfId="0" applyFont="1" applyBorder="1" applyAlignment="1">
      <alignment horizontal="left" wrapText="1" shrinkToFit="1"/>
    </xf>
    <xf numFmtId="3" fontId="81" fillId="0" borderId="109" xfId="0" applyNumberFormat="1" applyFont="1" applyBorder="1"/>
    <xf numFmtId="2" fontId="79" fillId="0" borderId="56" xfId="0" applyNumberFormat="1" applyFont="1" applyBorder="1"/>
    <xf numFmtId="3" fontId="79" fillId="0" borderId="45" xfId="77" applyNumberFormat="1" applyFont="1" applyBorder="1" applyAlignment="1">
      <alignment horizontal="center"/>
    </xf>
    <xf numFmtId="3" fontId="79" fillId="0" borderId="45" xfId="77" applyNumberFormat="1" applyFont="1" applyBorder="1"/>
    <xf numFmtId="3" fontId="83" fillId="30" borderId="51" xfId="77" applyNumberFormat="1" applyFont="1" applyFill="1" applyBorder="1"/>
    <xf numFmtId="3" fontId="80" fillId="0" borderId="55" xfId="77" applyNumberFormat="1" applyFont="1" applyBorder="1"/>
    <xf numFmtId="2" fontId="80" fillId="0" borderId="56" xfId="77" applyNumberFormat="1" applyFont="1" applyBorder="1"/>
    <xf numFmtId="2" fontId="79" fillId="0" borderId="67" xfId="77" applyNumberFormat="1" applyFont="1" applyBorder="1"/>
    <xf numFmtId="2" fontId="79" fillId="0" borderId="56" xfId="77" applyNumberFormat="1" applyFont="1" applyBorder="1"/>
    <xf numFmtId="3" fontId="79" fillId="30" borderId="21" xfId="0" applyNumberFormat="1" applyFont="1" applyFill="1" applyBorder="1"/>
    <xf numFmtId="4" fontId="79" fillId="0" borderId="60" xfId="0" applyNumberFormat="1" applyFont="1" applyBorder="1"/>
    <xf numFmtId="0" fontId="10" fillId="0" borderId="0" xfId="0" applyFont="1"/>
    <xf numFmtId="0" fontId="77" fillId="0" borderId="0" xfId="0" applyFont="1"/>
    <xf numFmtId="2" fontId="81" fillId="0" borderId="130" xfId="0" applyNumberFormat="1" applyFont="1" applyBorder="1"/>
    <xf numFmtId="3" fontId="79" fillId="0" borderId="113" xfId="0" applyNumberFormat="1" applyFont="1" applyBorder="1" applyProtection="1">
      <protection locked="0"/>
    </xf>
    <xf numFmtId="3" fontId="84" fillId="0" borderId="65" xfId="0" applyNumberFormat="1" applyFont="1" applyBorder="1" applyAlignment="1">
      <alignment horizontal="right"/>
    </xf>
    <xf numFmtId="0" fontId="85" fillId="0" borderId="62" xfId="0" applyFont="1" applyBorder="1" applyAlignment="1">
      <alignment horizontal="justify"/>
    </xf>
    <xf numFmtId="3" fontId="79" fillId="30" borderId="34" xfId="0" applyNumberFormat="1" applyFont="1" applyFill="1" applyBorder="1"/>
    <xf numFmtId="0" fontId="85" fillId="0" borderId="0" xfId="0" applyFont="1"/>
    <xf numFmtId="0" fontId="85" fillId="0" borderId="18" xfId="0" applyFont="1" applyBorder="1"/>
    <xf numFmtId="0" fontId="86" fillId="0" borderId="18" xfId="0" applyFont="1" applyBorder="1"/>
    <xf numFmtId="0" fontId="79" fillId="0" borderId="0" xfId="77" applyFont="1"/>
    <xf numFmtId="3" fontId="83" fillId="30" borderId="51" xfId="0" applyNumberFormat="1" applyFont="1" applyFill="1" applyBorder="1" applyAlignment="1">
      <alignment horizontal="right"/>
    </xf>
    <xf numFmtId="3" fontId="83" fillId="30" borderId="15" xfId="0" applyNumberFormat="1" applyFont="1" applyFill="1" applyBorder="1" applyAlignment="1">
      <alignment horizontal="right"/>
    </xf>
    <xf numFmtId="3" fontId="83" fillId="30" borderId="52" xfId="0" applyNumberFormat="1" applyFont="1" applyFill="1" applyBorder="1" applyAlignment="1">
      <alignment horizontal="right"/>
    </xf>
    <xf numFmtId="3" fontId="83" fillId="30" borderId="64" xfId="0" applyNumberFormat="1" applyFont="1" applyFill="1" applyBorder="1" applyAlignment="1">
      <alignment horizontal="right"/>
    </xf>
    <xf numFmtId="3" fontId="70" fillId="30" borderId="0" xfId="0" applyNumberFormat="1" applyFont="1" applyFill="1"/>
    <xf numFmtId="3" fontId="67" fillId="30" borderId="0" xfId="0" applyNumberFormat="1" applyFont="1" applyFill="1"/>
    <xf numFmtId="3" fontId="80" fillId="0" borderId="132" xfId="0" applyNumberFormat="1" applyFont="1" applyBorder="1"/>
    <xf numFmtId="0" fontId="57" fillId="0" borderId="0" xfId="88" applyFont="1"/>
    <xf numFmtId="0" fontId="91" fillId="0" borderId="0" xfId="0" applyFont="1"/>
    <xf numFmtId="0" fontId="9" fillId="0" borderId="0" xfId="88" applyFont="1"/>
    <xf numFmtId="0" fontId="91" fillId="0" borderId="0" xfId="88" applyFont="1"/>
    <xf numFmtId="0" fontId="90" fillId="0" borderId="0" xfId="88" applyFont="1"/>
    <xf numFmtId="0" fontId="90" fillId="0" borderId="0" xfId="88" applyFont="1" applyAlignment="1">
      <alignment horizontal="right"/>
    </xf>
    <xf numFmtId="0" fontId="8" fillId="0" borderId="0" xfId="88" applyFont="1"/>
    <xf numFmtId="0" fontId="35" fillId="0" borderId="83" xfId="88" applyFont="1" applyBorder="1" applyAlignment="1">
      <alignment horizontal="center"/>
    </xf>
    <xf numFmtId="0" fontId="90" fillId="0" borderId="23" xfId="88" applyFont="1" applyBorder="1" applyAlignment="1">
      <alignment horizontal="center"/>
    </xf>
    <xf numFmtId="0" fontId="90" fillId="0" borderId="83" xfId="88" applyFont="1" applyBorder="1" applyAlignment="1">
      <alignment horizontal="center"/>
    </xf>
    <xf numFmtId="0" fontId="90" fillId="0" borderId="53" xfId="88" applyFont="1" applyBorder="1" applyAlignment="1">
      <alignment horizontal="center"/>
    </xf>
    <xf numFmtId="0" fontId="90" fillId="0" borderId="46" xfId="88" applyFont="1" applyBorder="1" applyAlignment="1">
      <alignment horizontal="center"/>
    </xf>
    <xf numFmtId="0" fontId="56" fillId="0" borderId="0" xfId="88" applyFont="1"/>
    <xf numFmtId="0" fontId="35" fillId="0" borderId="69" xfId="88" applyFont="1" applyBorder="1" applyAlignment="1">
      <alignment horizontal="center"/>
    </xf>
    <xf numFmtId="0" fontId="91" fillId="0" borderId="18" xfId="88" applyFont="1" applyBorder="1"/>
    <xf numFmtId="0" fontId="90" fillId="0" borderId="69" xfId="88" applyFont="1" applyBorder="1" applyAlignment="1">
      <alignment horizontal="center"/>
    </xf>
    <xf numFmtId="0" fontId="90" fillId="0" borderId="86" xfId="88" applyFont="1" applyBorder="1" applyAlignment="1">
      <alignment horizontal="center"/>
    </xf>
    <xf numFmtId="0" fontId="90" fillId="0" borderId="0" xfId="88" applyFont="1" applyAlignment="1">
      <alignment horizontal="center"/>
    </xf>
    <xf numFmtId="0" fontId="35" fillId="0" borderId="70" xfId="88" applyFont="1" applyBorder="1" applyAlignment="1">
      <alignment horizontal="center"/>
    </xf>
    <xf numFmtId="0" fontId="91" fillId="0" borderId="19" xfId="88" applyFont="1" applyBorder="1"/>
    <xf numFmtId="0" fontId="90" fillId="0" borderId="70" xfId="88" applyFont="1" applyBorder="1" applyAlignment="1">
      <alignment horizontal="center" vertical="center" wrapText="1"/>
    </xf>
    <xf numFmtId="0" fontId="90" fillId="0" borderId="84" xfId="88" applyFont="1" applyBorder="1" applyAlignment="1">
      <alignment horizontal="center" vertical="center" wrapText="1"/>
    </xf>
    <xf numFmtId="0" fontId="90" fillId="0" borderId="84" xfId="88" applyFont="1" applyBorder="1" applyAlignment="1">
      <alignment horizontal="justify"/>
    </xf>
    <xf numFmtId="0" fontId="90" fillId="0" borderId="70" xfId="88" applyFont="1" applyBorder="1" applyAlignment="1">
      <alignment horizontal="center"/>
    </xf>
    <xf numFmtId="0" fontId="91" fillId="0" borderId="16" xfId="88" applyFont="1" applyBorder="1"/>
    <xf numFmtId="0" fontId="90" fillId="0" borderId="16" xfId="88" applyFont="1" applyBorder="1" applyAlignment="1">
      <alignment horizontal="center" vertical="center" wrapText="1"/>
    </xf>
    <xf numFmtId="0" fontId="90" fillId="0" borderId="70" xfId="88" applyFont="1" applyBorder="1" applyAlignment="1">
      <alignment horizontal="justify"/>
    </xf>
    <xf numFmtId="0" fontId="92" fillId="0" borderId="0" xfId="88" applyFont="1" applyAlignment="1">
      <alignment horizontal="center"/>
    </xf>
    <xf numFmtId="0" fontId="15" fillId="0" borderId="69" xfId="88" applyFont="1" applyBorder="1" applyAlignment="1">
      <alignment horizontal="center"/>
    </xf>
    <xf numFmtId="0" fontId="90" fillId="0" borderId="18" xfId="88" applyFont="1" applyBorder="1" applyAlignment="1">
      <alignment horizontal="center"/>
    </xf>
    <xf numFmtId="0" fontId="91" fillId="0" borderId="83" xfId="88" applyFont="1" applyBorder="1" applyAlignment="1">
      <alignment horizontal="center"/>
    </xf>
    <xf numFmtId="0" fontId="91" fillId="0" borderId="53" xfId="88" applyFont="1" applyBorder="1" applyAlignment="1">
      <alignment horizontal="center"/>
    </xf>
    <xf numFmtId="0" fontId="91" fillId="0" borderId="69" xfId="88" applyFont="1" applyBorder="1" applyAlignment="1">
      <alignment horizontal="center"/>
    </xf>
    <xf numFmtId="0" fontId="91" fillId="0" borderId="86" xfId="88" applyFont="1" applyBorder="1" applyAlignment="1">
      <alignment horizontal="center"/>
    </xf>
    <xf numFmtId="0" fontId="93" fillId="0" borderId="0" xfId="88" applyFont="1" applyAlignment="1">
      <alignment horizontal="center"/>
    </xf>
    <xf numFmtId="3" fontId="35" fillId="0" borderId="113" xfId="88" applyNumberFormat="1" applyFont="1" applyBorder="1" applyAlignment="1">
      <alignment horizontal="center"/>
    </xf>
    <xf numFmtId="0" fontId="91" fillId="0" borderId="98" xfId="89" applyFont="1" applyBorder="1"/>
    <xf numFmtId="3" fontId="95" fillId="0" borderId="113" xfId="88" applyNumberFormat="1" applyFont="1" applyBorder="1"/>
    <xf numFmtId="3" fontId="90" fillId="0" borderId="113" xfId="88" applyNumberFormat="1" applyFont="1" applyBorder="1"/>
    <xf numFmtId="3" fontId="90" fillId="0" borderId="69" xfId="88" applyNumberFormat="1" applyFont="1" applyBorder="1" applyAlignment="1">
      <alignment horizontal="center"/>
    </xf>
    <xf numFmtId="3" fontId="95" fillId="0" borderId="69" xfId="88" applyNumberFormat="1" applyFont="1" applyBorder="1"/>
    <xf numFmtId="3" fontId="65" fillId="0" borderId="0" xfId="88" applyNumberFormat="1" applyFont="1"/>
    <xf numFmtId="3" fontId="8" fillId="0" borderId="0" xfId="88" applyNumberFormat="1" applyFont="1"/>
    <xf numFmtId="3" fontId="63" fillId="0" borderId="0" xfId="88" applyNumberFormat="1" applyFont="1"/>
    <xf numFmtId="3" fontId="90" fillId="0" borderId="78" xfId="88" applyNumberFormat="1" applyFont="1" applyBorder="1" applyAlignment="1">
      <alignment horizontal="center"/>
    </xf>
    <xf numFmtId="0" fontId="91" fillId="0" borderId="26" xfId="89" applyFont="1" applyBorder="1"/>
    <xf numFmtId="3" fontId="95" fillId="0" borderId="78" xfId="88" applyNumberFormat="1" applyFont="1" applyBorder="1"/>
    <xf numFmtId="3" fontId="91" fillId="0" borderId="78" xfId="88" applyNumberFormat="1" applyFont="1" applyBorder="1"/>
    <xf numFmtId="3" fontId="35" fillId="0" borderId="78" xfId="88" applyNumberFormat="1" applyFont="1" applyBorder="1" applyAlignment="1">
      <alignment horizontal="center"/>
    </xf>
    <xf numFmtId="3" fontId="91" fillId="0" borderId="113" xfId="88" applyNumberFormat="1" applyFont="1" applyBorder="1"/>
    <xf numFmtId="3" fontId="90" fillId="0" borderId="89" xfId="88" applyNumberFormat="1" applyFont="1" applyBorder="1" applyAlignment="1">
      <alignment horizontal="center"/>
    </xf>
    <xf numFmtId="0" fontId="91" fillId="0" borderId="57" xfId="89" applyFont="1" applyBorder="1"/>
    <xf numFmtId="3" fontId="96" fillId="0" borderId="0" xfId="88" applyNumberFormat="1" applyFont="1"/>
    <xf numFmtId="3" fontId="35" fillId="0" borderId="77" xfId="88" applyNumberFormat="1" applyFont="1" applyBorder="1" applyAlignment="1">
      <alignment horizontal="center"/>
    </xf>
    <xf numFmtId="0" fontId="90" fillId="0" borderId="20" xfId="88" applyFont="1" applyBorder="1"/>
    <xf numFmtId="3" fontId="90" fillId="0" borderId="77" xfId="88" applyNumberFormat="1" applyFont="1" applyBorder="1"/>
    <xf numFmtId="3" fontId="90" fillId="0" borderId="77" xfId="88" applyNumberFormat="1" applyFont="1" applyBorder="1" applyAlignment="1">
      <alignment horizontal="center"/>
    </xf>
    <xf numFmtId="3" fontId="97" fillId="0" borderId="77" xfId="88" applyNumberFormat="1" applyFont="1" applyBorder="1"/>
    <xf numFmtId="3" fontId="90" fillId="0" borderId="141" xfId="88" applyNumberFormat="1" applyFont="1" applyBorder="1" applyAlignment="1">
      <alignment horizontal="center"/>
    </xf>
    <xf numFmtId="0" fontId="91" fillId="0" borderId="23" xfId="89" applyFont="1" applyBorder="1"/>
    <xf numFmtId="3" fontId="95" fillId="0" borderId="83" xfId="88" applyNumberFormat="1" applyFont="1" applyBorder="1"/>
    <xf numFmtId="0" fontId="15" fillId="0" borderId="0" xfId="88" applyFont="1"/>
    <xf numFmtId="3" fontId="90" fillId="0" borderId="113" xfId="88" applyNumberFormat="1" applyFont="1" applyBorder="1" applyAlignment="1">
      <alignment horizontal="center"/>
    </xf>
    <xf numFmtId="0" fontId="91" fillId="0" borderId="18" xfId="89" applyFont="1" applyBorder="1"/>
    <xf numFmtId="3" fontId="15" fillId="0" borderId="77" xfId="88" applyNumberFormat="1" applyFont="1" applyBorder="1" applyAlignment="1">
      <alignment horizontal="center"/>
    </xf>
    <xf numFmtId="0" fontId="90" fillId="0" borderId="20" xfId="88" applyFont="1" applyBorder="1" applyAlignment="1">
      <alignment horizontal="justify"/>
    </xf>
    <xf numFmtId="3" fontId="15" fillId="0" borderId="69" xfId="88" applyNumberFormat="1" applyFont="1" applyBorder="1" applyAlignment="1">
      <alignment horizontal="center"/>
    </xf>
    <xf numFmtId="0" fontId="90" fillId="0" borderId="18" xfId="88" applyFont="1" applyBorder="1" applyAlignment="1">
      <alignment horizontal="justify"/>
    </xf>
    <xf numFmtId="3" fontId="95" fillId="0" borderId="86" xfId="88" applyNumberFormat="1" applyFont="1" applyBorder="1"/>
    <xf numFmtId="3" fontId="90" fillId="0" borderId="83" xfId="88" applyNumberFormat="1" applyFont="1" applyBorder="1" applyAlignment="1">
      <alignment horizontal="center"/>
    </xf>
    <xf numFmtId="0" fontId="90" fillId="0" borderId="23" xfId="88" applyFont="1" applyBorder="1" applyAlignment="1">
      <alignment horizontal="justify"/>
    </xf>
    <xf numFmtId="3" fontId="7" fillId="0" borderId="77" xfId="88" applyNumberFormat="1" applyFont="1" applyBorder="1" applyAlignment="1">
      <alignment horizontal="center"/>
    </xf>
    <xf numFmtId="3" fontId="8" fillId="0" borderId="0" xfId="88" applyNumberFormat="1" applyFont="1" applyAlignment="1">
      <alignment horizontal="right"/>
    </xf>
    <xf numFmtId="3" fontId="99" fillId="0" borderId="0" xfId="88" applyNumberFormat="1" applyFont="1"/>
    <xf numFmtId="3" fontId="7" fillId="0" borderId="0" xfId="88" applyNumberFormat="1" applyFont="1"/>
    <xf numFmtId="3" fontId="100" fillId="0" borderId="46" xfId="88" applyNumberFormat="1" applyFont="1" applyBorder="1"/>
    <xf numFmtId="3" fontId="8" fillId="0" borderId="46" xfId="88" applyNumberFormat="1" applyFont="1" applyBorder="1"/>
    <xf numFmtId="3" fontId="7" fillId="0" borderId="46" xfId="88" applyNumberFormat="1" applyFont="1" applyBorder="1" applyAlignment="1">
      <alignment horizontal="right"/>
    </xf>
    <xf numFmtId="3" fontId="9" fillId="0" borderId="0" xfId="88" applyNumberFormat="1" applyFont="1"/>
    <xf numFmtId="0" fontId="8" fillId="0" borderId="0" xfId="88" applyFont="1" applyAlignment="1">
      <alignment horizontal="right"/>
    </xf>
    <xf numFmtId="3" fontId="101" fillId="0" borderId="0" xfId="88" applyNumberFormat="1" applyFont="1"/>
    <xf numFmtId="49" fontId="8" fillId="0" borderId="0" xfId="88" applyNumberFormat="1" applyFont="1" applyAlignment="1">
      <alignment horizontal="right"/>
    </xf>
    <xf numFmtId="3" fontId="87" fillId="0" borderId="0" xfId="88" applyNumberFormat="1" applyFont="1"/>
    <xf numFmtId="3" fontId="8" fillId="30" borderId="0" xfId="88" applyNumberFormat="1" applyFont="1" applyFill="1"/>
    <xf numFmtId="0" fontId="8" fillId="0" borderId="0" xfId="88" applyFont="1" applyAlignment="1">
      <alignment horizontal="left"/>
    </xf>
    <xf numFmtId="49" fontId="8" fillId="0" borderId="0" xfId="88" applyNumberFormat="1" applyFont="1" applyAlignment="1">
      <alignment horizontal="left"/>
    </xf>
    <xf numFmtId="0" fontId="9" fillId="0" borderId="0" xfId="88" applyFont="1" applyAlignment="1">
      <alignment horizontal="right"/>
    </xf>
    <xf numFmtId="0" fontId="7" fillId="0" borderId="0" xfId="88" applyFont="1"/>
    <xf numFmtId="0" fontId="103" fillId="0" borderId="0" xfId="0" applyFont="1"/>
    <xf numFmtId="0" fontId="33" fillId="0" borderId="0" xfId="0" applyFont="1"/>
    <xf numFmtId="0" fontId="78" fillId="0" borderId="0" xfId="0" applyFont="1"/>
    <xf numFmtId="0" fontId="78" fillId="0" borderId="0" xfId="78" applyFont="1" applyAlignment="1">
      <alignment horizontal="right"/>
    </xf>
    <xf numFmtId="3" fontId="104" fillId="0" borderId="0" xfId="0" applyNumberFormat="1" applyFont="1" applyAlignment="1">
      <alignment horizontal="right"/>
    </xf>
    <xf numFmtId="3" fontId="13" fillId="0" borderId="0" xfId="0" applyNumberFormat="1" applyFont="1"/>
    <xf numFmtId="3" fontId="13" fillId="0" borderId="0" xfId="0" quotePrefix="1" applyNumberFormat="1" applyFont="1" applyAlignment="1">
      <alignment horizontal="right"/>
    </xf>
    <xf numFmtId="0" fontId="13" fillId="0" borderId="0" xfId="0" applyFont="1"/>
    <xf numFmtId="3" fontId="33" fillId="0" borderId="0" xfId="0" quotePrefix="1" applyNumberFormat="1" applyFont="1" applyAlignment="1">
      <alignment horizontal="right"/>
    </xf>
    <xf numFmtId="3" fontId="106" fillId="0" borderId="0" xfId="0" applyNumberFormat="1" applyFont="1"/>
    <xf numFmtId="3" fontId="104" fillId="0" borderId="0" xfId="0" quotePrefix="1" applyNumberFormat="1" applyFont="1" applyAlignment="1">
      <alignment horizontal="right"/>
    </xf>
    <xf numFmtId="0" fontId="107" fillId="0" borderId="0" xfId="0" applyFont="1"/>
    <xf numFmtId="0" fontId="33" fillId="0" borderId="0" xfId="0" applyFont="1" applyAlignment="1">
      <alignment wrapText="1"/>
    </xf>
    <xf numFmtId="49" fontId="33" fillId="0" borderId="0" xfId="0" applyNumberFormat="1" applyFont="1"/>
    <xf numFmtId="0" fontId="6" fillId="0" borderId="0" xfId="78"/>
    <xf numFmtId="0" fontId="72" fillId="0" borderId="0" xfId="78" applyFont="1"/>
    <xf numFmtId="0" fontId="72" fillId="0" borderId="0" xfId="78" applyFont="1" applyAlignment="1">
      <alignment horizontal="right"/>
    </xf>
    <xf numFmtId="0" fontId="71" fillId="0" borderId="77" xfId="78" applyFont="1" applyBorder="1" applyAlignment="1">
      <alignment horizontal="center"/>
    </xf>
    <xf numFmtId="0" fontId="72" fillId="0" borderId="141" xfId="78" applyFont="1" applyBorder="1" applyAlignment="1">
      <alignment horizontal="center" vertical="center"/>
    </xf>
    <xf numFmtId="0" fontId="72" fillId="0" borderId="141" xfId="78" applyFont="1" applyBorder="1" applyAlignment="1">
      <alignment wrapText="1"/>
    </xf>
    <xf numFmtId="3" fontId="72" fillId="0" borderId="141" xfId="78" applyNumberFormat="1" applyFont="1" applyBorder="1"/>
    <xf numFmtId="0" fontId="72" fillId="0" borderId="69" xfId="78" applyFont="1" applyBorder="1" applyAlignment="1">
      <alignment horizontal="center" vertical="center"/>
    </xf>
    <xf numFmtId="0" fontId="72" fillId="0" borderId="0" xfId="78" applyFont="1" applyAlignment="1">
      <alignment wrapText="1"/>
    </xf>
    <xf numFmtId="3" fontId="72" fillId="0" borderId="69" xfId="78" applyNumberFormat="1" applyFont="1" applyBorder="1"/>
    <xf numFmtId="0" fontId="72" fillId="0" borderId="89" xfId="78" applyFont="1" applyBorder="1" applyAlignment="1">
      <alignment horizontal="center" vertical="center"/>
    </xf>
    <xf numFmtId="0" fontId="72" fillId="0" borderId="104" xfId="78" applyFont="1" applyBorder="1" applyAlignment="1">
      <alignment wrapText="1"/>
    </xf>
    <xf numFmtId="3" fontId="72" fillId="0" borderId="89" xfId="78" applyNumberFormat="1" applyFont="1" applyBorder="1"/>
    <xf numFmtId="49" fontId="72" fillId="0" borderId="0" xfId="78" applyNumberFormat="1" applyFont="1"/>
    <xf numFmtId="0" fontId="72" fillId="0" borderId="78" xfId="78" applyFont="1" applyBorder="1" applyAlignment="1">
      <alignment horizontal="center" vertical="center"/>
    </xf>
    <xf numFmtId="0" fontId="72" fillId="0" borderId="24" xfId="78" applyFont="1" applyBorder="1" applyAlignment="1">
      <alignment wrapText="1"/>
    </xf>
    <xf numFmtId="3" fontId="72" fillId="0" borderId="78" xfId="78" applyNumberFormat="1" applyFont="1" applyBorder="1"/>
    <xf numFmtId="0" fontId="72" fillId="0" borderId="77" xfId="78" applyFont="1" applyBorder="1"/>
    <xf numFmtId="0" fontId="71" fillId="0" borderId="93" xfId="78" applyFont="1" applyBorder="1"/>
    <xf numFmtId="3" fontId="71" fillId="0" borderId="77" xfId="78" applyNumberFormat="1" applyFont="1" applyBorder="1"/>
    <xf numFmtId="0" fontId="108" fillId="0" borderId="0" xfId="78" applyFont="1"/>
    <xf numFmtId="0" fontId="73" fillId="0" borderId="0" xfId="90" applyFont="1"/>
    <xf numFmtId="0" fontId="72" fillId="0" borderId="0" xfId="90" applyFont="1" applyAlignment="1">
      <alignment wrapText="1"/>
    </xf>
    <xf numFmtId="0" fontId="72" fillId="0" borderId="0" xfId="90" applyFont="1"/>
    <xf numFmtId="0" fontId="12" fillId="0" borderId="0" xfId="78" applyFont="1"/>
    <xf numFmtId="0" fontId="109" fillId="0" borderId="0" xfId="77" applyFont="1"/>
    <xf numFmtId="0" fontId="71" fillId="0" borderId="125" xfId="0" applyFont="1" applyBorder="1" applyAlignment="1">
      <alignment horizontal="center"/>
    </xf>
    <xf numFmtId="0" fontId="71" fillId="0" borderId="142" xfId="0" applyFont="1" applyBorder="1" applyAlignment="1">
      <alignment horizontal="center"/>
    </xf>
    <xf numFmtId="0" fontId="71" fillId="0" borderId="143" xfId="0" applyFont="1" applyBorder="1" applyAlignment="1">
      <alignment horizontal="center"/>
    </xf>
    <xf numFmtId="0" fontId="71" fillId="0" borderId="126" xfId="0" applyFont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71" fillId="0" borderId="59" xfId="0" applyFont="1" applyBorder="1" applyAlignment="1">
      <alignment horizontal="center"/>
    </xf>
    <xf numFmtId="3" fontId="72" fillId="0" borderId="21" xfId="0" applyNumberFormat="1" applyFont="1" applyBorder="1" applyAlignment="1">
      <alignment horizontal="right"/>
    </xf>
    <xf numFmtId="3" fontId="72" fillId="0" borderId="81" xfId="0" applyNumberFormat="1" applyFont="1" applyBorder="1" applyAlignment="1">
      <alignment horizontal="right"/>
    </xf>
    <xf numFmtId="0" fontId="72" fillId="0" borderId="101" xfId="77" applyFont="1" applyBorder="1"/>
    <xf numFmtId="3" fontId="72" fillId="0" borderId="126" xfId="77" applyNumberFormat="1" applyFont="1" applyBorder="1" applyAlignment="1">
      <alignment horizontal="right"/>
    </xf>
    <xf numFmtId="0" fontId="110" fillId="0" borderId="77" xfId="77" applyFont="1" applyBorder="1" applyAlignment="1">
      <alignment horizontal="center"/>
    </xf>
    <xf numFmtId="3" fontId="109" fillId="0" borderId="0" xfId="77" applyNumberFormat="1" applyFont="1"/>
    <xf numFmtId="0" fontId="111" fillId="0" borderId="0" xfId="91" applyFont="1"/>
    <xf numFmtId="0" fontId="105" fillId="0" borderId="16" xfId="91" applyFont="1" applyBorder="1" applyAlignment="1">
      <alignment horizontal="center"/>
    </xf>
    <xf numFmtId="0" fontId="78" fillId="0" borderId="0" xfId="0" applyFont="1" applyAlignment="1">
      <alignment horizontal="right"/>
    </xf>
    <xf numFmtId="0" fontId="112" fillId="0" borderId="0" xfId="91" applyFont="1"/>
    <xf numFmtId="0" fontId="105" fillId="0" borderId="0" xfId="77" applyFont="1"/>
    <xf numFmtId="0" fontId="78" fillId="0" borderId="0" xfId="77" applyFont="1" applyAlignment="1">
      <alignment horizontal="right"/>
    </xf>
    <xf numFmtId="3" fontId="105" fillId="0" borderId="0" xfId="77" applyNumberFormat="1" applyFont="1"/>
    <xf numFmtId="0" fontId="112" fillId="0" borderId="0" xfId="92" applyFont="1" applyAlignment="1">
      <alignment horizontal="center"/>
    </xf>
    <xf numFmtId="0" fontId="112" fillId="0" borderId="0" xfId="92" applyFont="1"/>
    <xf numFmtId="0" fontId="113" fillId="0" borderId="0" xfId="92" applyFont="1"/>
    <xf numFmtId="0" fontId="114" fillId="0" borderId="0" xfId="92" applyFont="1"/>
    <xf numFmtId="0" fontId="115" fillId="0" borderId="0" xfId="92" applyFont="1"/>
    <xf numFmtId="0" fontId="105" fillId="0" borderId="16" xfId="92" applyFont="1" applyBorder="1" applyAlignment="1">
      <alignment horizontal="center"/>
    </xf>
    <xf numFmtId="0" fontId="105" fillId="0" borderId="23" xfId="92" applyFont="1" applyBorder="1" applyAlignment="1">
      <alignment horizontal="center"/>
    </xf>
    <xf numFmtId="0" fontId="105" fillId="0" borderId="83" xfId="92" applyFont="1" applyBorder="1"/>
    <xf numFmtId="49" fontId="105" fillId="0" borderId="83" xfId="92" applyNumberFormat="1" applyFont="1" applyBorder="1" applyAlignment="1">
      <alignment horizontal="center"/>
    </xf>
    <xf numFmtId="0" fontId="105" fillId="0" borderId="18" xfId="92" applyFont="1" applyBorder="1" applyAlignment="1">
      <alignment horizontal="center"/>
    </xf>
    <xf numFmtId="0" fontId="105" fillId="0" borderId="86" xfId="92" applyFont="1" applyBorder="1" applyAlignment="1">
      <alignment horizontal="center"/>
    </xf>
    <xf numFmtId="0" fontId="105" fillId="0" borderId="69" xfId="92" applyFont="1" applyBorder="1"/>
    <xf numFmtId="2" fontId="105" fillId="0" borderId="69" xfId="92" applyNumberFormat="1" applyFont="1" applyBorder="1" applyAlignment="1">
      <alignment horizontal="center"/>
    </xf>
    <xf numFmtId="0" fontId="105" fillId="0" borderId="19" xfId="92" applyFont="1" applyBorder="1" applyAlignment="1">
      <alignment horizontal="center"/>
    </xf>
    <xf numFmtId="0" fontId="105" fillId="0" borderId="84" xfId="92" applyFont="1" applyBorder="1" applyAlignment="1">
      <alignment horizontal="center"/>
    </xf>
    <xf numFmtId="0" fontId="105" fillId="0" borderId="70" xfId="92" applyFont="1" applyBorder="1"/>
    <xf numFmtId="49" fontId="105" fillId="0" borderId="70" xfId="92" applyNumberFormat="1" applyFont="1" applyBorder="1" applyAlignment="1">
      <alignment horizontal="center"/>
    </xf>
    <xf numFmtId="49" fontId="105" fillId="0" borderId="86" xfId="92" applyNumberFormat="1" applyFont="1" applyBorder="1" applyAlignment="1">
      <alignment horizontal="center"/>
    </xf>
    <xf numFmtId="3" fontId="78" fillId="0" borderId="18" xfId="92" applyNumberFormat="1" applyFont="1" applyBorder="1" applyAlignment="1">
      <alignment horizontal="center"/>
    </xf>
    <xf numFmtId="0" fontId="78" fillId="0" borderId="18" xfId="92" applyFont="1" applyBorder="1"/>
    <xf numFmtId="0" fontId="78" fillId="0" borderId="86" xfId="92" applyFont="1" applyBorder="1"/>
    <xf numFmtId="0" fontId="78" fillId="0" borderId="69" xfId="92" applyFont="1" applyBorder="1"/>
    <xf numFmtId="3" fontId="78" fillId="0" borderId="59" xfId="92" applyNumberFormat="1" applyFont="1" applyBorder="1"/>
    <xf numFmtId="0" fontId="116" fillId="0" borderId="0" xfId="92" quotePrefix="1" applyFont="1"/>
    <xf numFmtId="3" fontId="105" fillId="0" borderId="26" xfId="92" applyNumberFormat="1" applyFont="1" applyBorder="1" applyAlignment="1">
      <alignment horizontal="center"/>
    </xf>
    <xf numFmtId="0" fontId="105" fillId="0" borderId="26" xfId="92" applyFont="1" applyBorder="1"/>
    <xf numFmtId="0" fontId="105" fillId="0" borderId="88" xfId="92" applyFont="1" applyBorder="1"/>
    <xf numFmtId="0" fontId="105" fillId="0" borderId="78" xfId="92" applyFont="1" applyBorder="1"/>
    <xf numFmtId="3" fontId="105" fillId="0" borderId="58" xfId="92" applyNumberFormat="1" applyFont="1" applyBorder="1"/>
    <xf numFmtId="3" fontId="105" fillId="0" borderId="18" xfId="92" applyNumberFormat="1" applyFont="1" applyBorder="1" applyAlignment="1">
      <alignment horizontal="center"/>
    </xf>
    <xf numFmtId="0" fontId="105" fillId="0" borderId="18" xfId="92" applyFont="1" applyBorder="1"/>
    <xf numFmtId="0" fontId="105" fillId="0" borderId="86" xfId="92" applyFont="1" applyBorder="1"/>
    <xf numFmtId="3" fontId="105" fillId="0" borderId="59" xfId="92" applyNumberFormat="1" applyFont="1" applyBorder="1"/>
    <xf numFmtId="3" fontId="105" fillId="0" borderId="17" xfId="92" applyNumberFormat="1" applyFont="1" applyBorder="1" applyAlignment="1">
      <alignment horizontal="center"/>
    </xf>
    <xf numFmtId="0" fontId="105" fillId="0" borderId="17" xfId="92" applyFont="1" applyBorder="1"/>
    <xf numFmtId="0" fontId="105" fillId="0" borderId="80" xfId="92" applyFont="1" applyBorder="1"/>
    <xf numFmtId="0" fontId="105" fillId="0" borderId="76" xfId="92" applyFont="1" applyBorder="1"/>
    <xf numFmtId="3" fontId="105" fillId="0" borderId="54" xfId="92" applyNumberFormat="1" applyFont="1" applyBorder="1"/>
    <xf numFmtId="3" fontId="105" fillId="0" borderId="83" xfId="92" applyNumberFormat="1" applyFont="1" applyBorder="1"/>
    <xf numFmtId="3" fontId="78" fillId="0" borderId="69" xfId="92" applyNumberFormat="1" applyFont="1" applyBorder="1"/>
    <xf numFmtId="3" fontId="105" fillId="0" borderId="78" xfId="92" applyNumberFormat="1" applyFont="1" applyBorder="1"/>
    <xf numFmtId="3" fontId="105" fillId="0" borderId="69" xfId="92" applyNumberFormat="1" applyFont="1" applyBorder="1"/>
    <xf numFmtId="3" fontId="114" fillId="0" borderId="0" xfId="92" applyNumberFormat="1" applyFont="1"/>
    <xf numFmtId="3" fontId="105" fillId="0" borderId="76" xfId="92" applyNumberFormat="1" applyFont="1" applyBorder="1"/>
    <xf numFmtId="3" fontId="105" fillId="0" borderId="86" xfId="92" applyNumberFormat="1" applyFont="1" applyBorder="1"/>
    <xf numFmtId="3" fontId="105" fillId="0" borderId="57" xfId="92" applyNumberFormat="1" applyFont="1" applyBorder="1" applyAlignment="1">
      <alignment horizontal="center"/>
    </xf>
    <xf numFmtId="0" fontId="105" fillId="0" borderId="89" xfId="92" applyFont="1" applyBorder="1"/>
    <xf numFmtId="3" fontId="105" fillId="0" borderId="56" xfId="92" applyNumberFormat="1" applyFont="1" applyBorder="1"/>
    <xf numFmtId="3" fontId="105" fillId="0" borderId="23" xfId="92" applyNumberFormat="1" applyFont="1" applyBorder="1" applyAlignment="1">
      <alignment horizontal="center"/>
    </xf>
    <xf numFmtId="0" fontId="105" fillId="0" borderId="23" xfId="92" applyFont="1" applyBorder="1"/>
    <xf numFmtId="0" fontId="105" fillId="0" borderId="53" xfId="92" applyFont="1" applyBorder="1"/>
    <xf numFmtId="0" fontId="78" fillId="0" borderId="86" xfId="0" applyFont="1" applyBorder="1" applyAlignment="1">
      <alignment wrapText="1"/>
    </xf>
    <xf numFmtId="3" fontId="78" fillId="0" borderId="19" xfId="92" applyNumberFormat="1" applyFont="1" applyBorder="1" applyAlignment="1">
      <alignment horizontal="center"/>
    </xf>
    <xf numFmtId="0" fontId="78" fillId="0" borderId="19" xfId="92" applyFont="1" applyBorder="1"/>
    <xf numFmtId="0" fontId="78" fillId="0" borderId="84" xfId="92" applyFont="1" applyBorder="1"/>
    <xf numFmtId="0" fontId="78" fillId="0" borderId="70" xfId="92" applyFont="1" applyBorder="1"/>
    <xf numFmtId="3" fontId="78" fillId="0" borderId="70" xfId="92" applyNumberFormat="1" applyFont="1" applyBorder="1"/>
    <xf numFmtId="3" fontId="117" fillId="0" borderId="18" xfId="92" applyNumberFormat="1" applyFont="1" applyBorder="1" applyAlignment="1">
      <alignment horizontal="center"/>
    </xf>
    <xf numFmtId="0" fontId="117" fillId="0" borderId="18" xfId="92" applyFont="1" applyBorder="1" applyAlignment="1">
      <alignment wrapText="1"/>
    </xf>
    <xf numFmtId="0" fontId="117" fillId="0" borderId="69" xfId="92" applyFont="1" applyBorder="1"/>
    <xf numFmtId="3" fontId="117" fillId="0" borderId="59" xfId="92" applyNumberFormat="1" applyFont="1" applyBorder="1"/>
    <xf numFmtId="0" fontId="105" fillId="0" borderId="53" xfId="92" applyFont="1" applyBorder="1" applyAlignment="1">
      <alignment horizontal="center"/>
    </xf>
    <xf numFmtId="3" fontId="78" fillId="0" borderId="113" xfId="92" applyNumberFormat="1" applyFont="1" applyBorder="1" applyAlignment="1">
      <alignment horizontal="center"/>
    </xf>
    <xf numFmtId="3" fontId="105" fillId="0" borderId="19" xfId="92" applyNumberFormat="1" applyFont="1" applyBorder="1" applyAlignment="1">
      <alignment horizontal="center"/>
    </xf>
    <xf numFmtId="3" fontId="117" fillId="0" borderId="20" xfId="92" applyNumberFormat="1" applyFont="1" applyBorder="1" applyAlignment="1">
      <alignment horizontal="center"/>
    </xf>
    <xf numFmtId="0" fontId="117" fillId="0" borderId="77" xfId="92" applyFont="1" applyBorder="1"/>
    <xf numFmtId="3" fontId="117" fillId="0" borderId="60" xfId="92" applyNumberFormat="1" applyFont="1" applyBorder="1"/>
    <xf numFmtId="3" fontId="117" fillId="0" borderId="0" xfId="92" applyNumberFormat="1" applyFont="1" applyAlignment="1">
      <alignment horizontal="center"/>
    </xf>
    <xf numFmtId="0" fontId="117" fillId="0" borderId="0" xfId="92" applyFont="1" applyAlignment="1">
      <alignment wrapText="1"/>
    </xf>
    <xf numFmtId="0" fontId="78" fillId="0" borderId="0" xfId="0" applyFont="1" applyAlignment="1">
      <alignment wrapText="1"/>
    </xf>
    <xf numFmtId="0" fontId="117" fillId="0" borderId="0" xfId="92" applyFont="1"/>
    <xf numFmtId="3" fontId="117" fillId="0" borderId="0" xfId="92" applyNumberFormat="1" applyFont="1"/>
    <xf numFmtId="0" fontId="105" fillId="0" borderId="46" xfId="92" applyFont="1" applyBorder="1"/>
    <xf numFmtId="0" fontId="105" fillId="0" borderId="0" xfId="92" applyFont="1"/>
    <xf numFmtId="0" fontId="105" fillId="0" borderId="16" xfId="92" applyFont="1" applyBorder="1"/>
    <xf numFmtId="0" fontId="78" fillId="0" borderId="0" xfId="92" applyFont="1"/>
    <xf numFmtId="0" fontId="105" fillId="0" borderId="24" xfId="92" applyFont="1" applyBorder="1"/>
    <xf numFmtId="0" fontId="78" fillId="0" borderId="98" xfId="92" applyFont="1" applyBorder="1"/>
    <xf numFmtId="0" fontId="117" fillId="0" borderId="93" xfId="92" applyFont="1" applyBorder="1"/>
    <xf numFmtId="0" fontId="118" fillId="0" borderId="0" xfId="92" applyFont="1" applyAlignment="1">
      <alignment horizontal="center"/>
    </xf>
    <xf numFmtId="0" fontId="118" fillId="0" borderId="0" xfId="92" applyFont="1"/>
    <xf numFmtId="0" fontId="13" fillId="0" borderId="0" xfId="92" applyFont="1"/>
    <xf numFmtId="0" fontId="105" fillId="0" borderId="0" xfId="92" applyFont="1" applyAlignment="1">
      <alignment horizontal="center"/>
    </xf>
    <xf numFmtId="3" fontId="118" fillId="0" borderId="0" xfId="92" applyNumberFormat="1" applyFont="1"/>
    <xf numFmtId="0" fontId="8" fillId="0" borderId="0" xfId="93" applyFont="1"/>
    <xf numFmtId="0" fontId="7" fillId="0" borderId="0" xfId="93" applyFont="1"/>
    <xf numFmtId="3" fontId="8" fillId="0" borderId="0" xfId="93" applyNumberFormat="1" applyFont="1"/>
    <xf numFmtId="3" fontId="7" fillId="0" borderId="0" xfId="93" applyNumberFormat="1" applyFont="1"/>
    <xf numFmtId="0" fontId="9" fillId="0" borderId="0" xfId="93" applyFont="1"/>
    <xf numFmtId="0" fontId="120" fillId="0" borderId="0" xfId="0" applyFont="1"/>
    <xf numFmtId="0" fontId="63" fillId="0" borderId="0" xfId="93" applyFont="1"/>
    <xf numFmtId="0" fontId="114" fillId="0" borderId="0" xfId="94" applyFont="1"/>
    <xf numFmtId="3" fontId="114" fillId="0" borderId="0" xfId="94" applyNumberFormat="1" applyFont="1"/>
    <xf numFmtId="0" fontId="121" fillId="0" borderId="0" xfId="92" applyFont="1"/>
    <xf numFmtId="0" fontId="122" fillId="0" borderId="0" xfId="94" applyFont="1" applyAlignment="1">
      <alignment horizontal="center"/>
    </xf>
    <xf numFmtId="0" fontId="123" fillId="0" borderId="0" xfId="94" applyFont="1" applyAlignment="1">
      <alignment horizontal="center"/>
    </xf>
    <xf numFmtId="0" fontId="78" fillId="0" borderId="0" xfId="94" applyFont="1"/>
    <xf numFmtId="0" fontId="105" fillId="0" borderId="0" xfId="94" applyFont="1"/>
    <xf numFmtId="3" fontId="78" fillId="0" borderId="0" xfId="94" applyNumberFormat="1" applyFont="1"/>
    <xf numFmtId="3" fontId="105" fillId="0" borderId="0" xfId="94" applyNumberFormat="1" applyFont="1"/>
    <xf numFmtId="0" fontId="78" fillId="0" borderId="0" xfId="94" applyFont="1" applyAlignment="1">
      <alignment horizontal="right"/>
    </xf>
    <xf numFmtId="0" fontId="114" fillId="0" borderId="0" xfId="94" applyFont="1" applyAlignment="1">
      <alignment horizontal="right"/>
    </xf>
    <xf numFmtId="0" fontId="91" fillId="0" borderId="23" xfId="94" applyFont="1" applyBorder="1"/>
    <xf numFmtId="0" fontId="91" fillId="0" borderId="46" xfId="94" applyFont="1" applyBorder="1" applyAlignment="1">
      <alignment horizontal="centerContinuous"/>
    </xf>
    <xf numFmtId="0" fontId="91" fillId="0" borderId="47" xfId="0" applyFont="1" applyBorder="1"/>
    <xf numFmtId="0" fontId="91" fillId="0" borderId="53" xfId="0" applyFont="1" applyBorder="1"/>
    <xf numFmtId="0" fontId="89" fillId="0" borderId="0" xfId="0" applyFont="1"/>
    <xf numFmtId="0" fontId="124" fillId="0" borderId="0" xfId="94" applyFont="1"/>
    <xf numFmtId="0" fontId="91" fillId="0" borderId="19" xfId="94" applyFont="1" applyBorder="1"/>
    <xf numFmtId="0" fontId="91" fillId="0" borderId="16" xfId="94" applyFont="1" applyBorder="1"/>
    <xf numFmtId="3" fontId="90" fillId="0" borderId="61" xfId="94" applyNumberFormat="1" applyFont="1" applyBorder="1" applyAlignment="1">
      <alignment horizontal="center"/>
    </xf>
    <xf numFmtId="3" fontId="90" fillId="0" borderId="28" xfId="94" applyNumberFormat="1" applyFont="1" applyBorder="1" applyAlignment="1">
      <alignment horizontal="center"/>
    </xf>
    <xf numFmtId="3" fontId="122" fillId="0" borderId="0" xfId="94" applyNumberFormat="1" applyFont="1" applyAlignment="1">
      <alignment horizontal="justify"/>
    </xf>
    <xf numFmtId="3" fontId="122" fillId="0" borderId="0" xfId="94" applyNumberFormat="1" applyFont="1"/>
    <xf numFmtId="0" fontId="8" fillId="0" borderId="0" xfId="0" applyFont="1" applyAlignment="1">
      <alignment horizontal="left"/>
    </xf>
    <xf numFmtId="0" fontId="91" fillId="0" borderId="26" xfId="94" applyFont="1" applyBorder="1"/>
    <xf numFmtId="0" fontId="91" fillId="0" borderId="91" xfId="94" applyFont="1" applyBorder="1"/>
    <xf numFmtId="0" fontId="91" fillId="0" borderId="24" xfId="94" applyFont="1" applyBorder="1"/>
    <xf numFmtId="3" fontId="91" fillId="0" borderId="32" xfId="94" applyNumberFormat="1" applyFont="1" applyBorder="1"/>
    <xf numFmtId="4" fontId="91" fillId="0" borderId="58" xfId="94" applyNumberFormat="1" applyFont="1" applyBorder="1"/>
    <xf numFmtId="4" fontId="124" fillId="0" borderId="0" xfId="94" applyNumberFormat="1" applyFont="1"/>
    <xf numFmtId="3" fontId="124" fillId="0" borderId="0" xfId="94" applyNumberFormat="1" applyFont="1"/>
    <xf numFmtId="0" fontId="90" fillId="0" borderId="19" xfId="94" applyFont="1" applyBorder="1"/>
    <xf numFmtId="0" fontId="90" fillId="0" borderId="16" xfId="94" applyFont="1" applyBorder="1"/>
    <xf numFmtId="3" fontId="90" fillId="0" borderId="61" xfId="94" applyNumberFormat="1" applyFont="1" applyBorder="1"/>
    <xf numFmtId="4" fontId="90" fillId="0" borderId="28" xfId="94" applyNumberFormat="1" applyFont="1" applyBorder="1"/>
    <xf numFmtId="0" fontId="69" fillId="0" borderId="0" xfId="0" applyFont="1" applyAlignment="1">
      <alignment vertical="center" wrapText="1"/>
    </xf>
    <xf numFmtId="0" fontId="69" fillId="0" borderId="0" xfId="94" applyFont="1"/>
    <xf numFmtId="0" fontId="90" fillId="0" borderId="22" xfId="94" applyFont="1" applyBorder="1"/>
    <xf numFmtId="3" fontId="90" fillId="0" borderId="43" xfId="94" applyNumberFormat="1" applyFont="1" applyBorder="1"/>
    <xf numFmtId="0" fontId="91" fillId="0" borderId="18" xfId="94" applyFont="1" applyBorder="1"/>
    <xf numFmtId="3" fontId="95" fillId="0" borderId="32" xfId="94" applyNumberFormat="1" applyFont="1" applyBorder="1"/>
    <xf numFmtId="4" fontId="91" fillId="0" borderId="140" xfId="94" applyNumberFormat="1" applyFont="1" applyBorder="1"/>
    <xf numFmtId="3" fontId="69" fillId="0" borderId="0" xfId="0" applyNumberFormat="1" applyFont="1" applyAlignment="1">
      <alignment vertical="center" wrapText="1"/>
    </xf>
    <xf numFmtId="4" fontId="125" fillId="0" borderId="0" xfId="94" applyNumberFormat="1" applyFont="1"/>
    <xf numFmtId="3" fontId="126" fillId="0" borderId="0" xfId="94" applyNumberFormat="1" applyFont="1"/>
    <xf numFmtId="0" fontId="125" fillId="0" borderId="0" xfId="94" applyFont="1"/>
    <xf numFmtId="4" fontId="111" fillId="28" borderId="0" xfId="94" applyNumberFormat="1" applyFont="1" applyFill="1"/>
    <xf numFmtId="4" fontId="114" fillId="28" borderId="0" xfId="94" applyNumberFormat="1" applyFont="1" applyFill="1"/>
    <xf numFmtId="4" fontId="13" fillId="28" borderId="0" xfId="94" applyNumberFormat="1" applyFont="1" applyFill="1"/>
    <xf numFmtId="3" fontId="111" fillId="28" borderId="0" xfId="94" applyNumberFormat="1" applyFont="1" applyFill="1"/>
    <xf numFmtId="0" fontId="127" fillId="0" borderId="0" xfId="95" applyFont="1"/>
    <xf numFmtId="0" fontId="6" fillId="0" borderId="0" xfId="95"/>
    <xf numFmtId="0" fontId="128" fillId="0" borderId="0" xfId="95" applyFont="1" applyAlignment="1">
      <alignment horizontal="center"/>
    </xf>
    <xf numFmtId="0" fontId="6" fillId="0" borderId="0" xfId="95" applyAlignment="1">
      <alignment horizontal="center"/>
    </xf>
    <xf numFmtId="0" fontId="72" fillId="0" borderId="32" xfId="95" applyFont="1" applyBorder="1" applyAlignment="1">
      <alignment horizontal="center"/>
    </xf>
    <xf numFmtId="0" fontId="72" fillId="0" borderId="58" xfId="95" applyFont="1" applyBorder="1" applyAlignment="1">
      <alignment horizontal="center"/>
    </xf>
    <xf numFmtId="0" fontId="71" fillId="0" borderId="43" xfId="95" applyFont="1" applyBorder="1" applyAlignment="1">
      <alignment horizontal="center"/>
    </xf>
    <xf numFmtId="0" fontId="71" fillId="0" borderId="54" xfId="95" applyFont="1" applyBorder="1" applyAlignment="1">
      <alignment horizontal="center"/>
    </xf>
    <xf numFmtId="3" fontId="72" fillId="0" borderId="91" xfId="95" applyNumberFormat="1" applyFont="1" applyBorder="1"/>
    <xf numFmtId="3" fontId="72" fillId="0" borderId="101" xfId="95" applyNumberFormat="1" applyFont="1" applyBorder="1"/>
    <xf numFmtId="3" fontId="72" fillId="0" borderId="100" xfId="95" applyNumberFormat="1" applyFont="1" applyBorder="1"/>
    <xf numFmtId="3" fontId="72" fillId="0" borderId="24" xfId="95" applyNumberFormat="1" applyFont="1" applyBorder="1"/>
    <xf numFmtId="3" fontId="72" fillId="0" borderId="32" xfId="95" applyNumberFormat="1" applyFont="1" applyBorder="1"/>
    <xf numFmtId="3" fontId="72" fillId="0" borderId="88" xfId="95" applyNumberFormat="1" applyFont="1" applyBorder="1"/>
    <xf numFmtId="3" fontId="72" fillId="0" borderId="43" xfId="95" applyNumberFormat="1" applyFont="1" applyBorder="1"/>
    <xf numFmtId="3" fontId="72" fillId="0" borderId="54" xfId="95" applyNumberFormat="1" applyFont="1" applyBorder="1"/>
    <xf numFmtId="0" fontId="72" fillId="0" borderId="131" xfId="95" applyFont="1" applyBorder="1" applyAlignment="1">
      <alignment horizontal="left"/>
    </xf>
    <xf numFmtId="0" fontId="72" fillId="0" borderId="118" xfId="95" applyFont="1" applyBorder="1" applyAlignment="1">
      <alignment horizontal="left"/>
    </xf>
    <xf numFmtId="3" fontId="72" fillId="0" borderId="131" xfId="95" applyNumberFormat="1" applyFont="1" applyBorder="1"/>
    <xf numFmtId="3" fontId="72" fillId="0" borderId="125" xfId="95" applyNumberFormat="1" applyFont="1" applyBorder="1"/>
    <xf numFmtId="3" fontId="72" fillId="0" borderId="142" xfId="95" applyNumberFormat="1" applyFont="1" applyBorder="1"/>
    <xf numFmtId="0" fontId="72" fillId="0" borderId="0" xfId="95" applyFont="1"/>
    <xf numFmtId="0" fontId="72" fillId="0" borderId="32" xfId="95" applyFont="1" applyBorder="1"/>
    <xf numFmtId="0" fontId="72" fillId="0" borderId="145" xfId="95" applyFont="1" applyBorder="1"/>
    <xf numFmtId="3" fontId="6" fillId="0" borderId="0" xfId="95" applyNumberFormat="1"/>
    <xf numFmtId="0" fontId="72" fillId="0" borderId="0" xfId="95" applyFont="1" applyAlignment="1">
      <alignment vertical="center"/>
    </xf>
    <xf numFmtId="0" fontId="72" fillId="0" borderId="55" xfId="95" applyFont="1" applyBorder="1"/>
    <xf numFmtId="3" fontId="72" fillId="0" borderId="0" xfId="95" applyNumberFormat="1" applyFont="1"/>
    <xf numFmtId="3" fontId="72" fillId="0" borderId="15" xfId="95" applyNumberFormat="1" applyFont="1" applyBorder="1"/>
    <xf numFmtId="3" fontId="72" fillId="0" borderId="86" xfId="95" applyNumberFormat="1" applyFont="1" applyBorder="1"/>
    <xf numFmtId="0" fontId="72" fillId="0" borderId="0" xfId="95" applyFont="1" applyAlignment="1">
      <alignment horizontal="left" vertical="center"/>
    </xf>
    <xf numFmtId="3" fontId="72" fillId="0" borderId="49" xfId="95" applyNumberFormat="1" applyFont="1" applyBorder="1"/>
    <xf numFmtId="0" fontId="72" fillId="0" borderId="91" xfId="95" applyFont="1" applyBorder="1" applyAlignment="1">
      <alignment horizontal="left" vertical="center"/>
    </xf>
    <xf numFmtId="0" fontId="72" fillId="0" borderId="101" xfId="95" applyFont="1" applyBorder="1"/>
    <xf numFmtId="0" fontId="72" fillId="0" borderId="15" xfId="95" applyFont="1" applyBorder="1"/>
    <xf numFmtId="0" fontId="72" fillId="0" borderId="82" xfId="95" applyFont="1" applyBorder="1"/>
    <xf numFmtId="0" fontId="72" fillId="0" borderId="61" xfId="95" applyFont="1" applyBorder="1"/>
    <xf numFmtId="0" fontId="72" fillId="0" borderId="99" xfId="95" applyFont="1" applyBorder="1"/>
    <xf numFmtId="3" fontId="72" fillId="0" borderId="16" xfId="95" applyNumberFormat="1" applyFont="1" applyBorder="1"/>
    <xf numFmtId="3" fontId="72" fillId="0" borderId="61" xfId="95" applyNumberFormat="1" applyFont="1" applyBorder="1"/>
    <xf numFmtId="3" fontId="72" fillId="0" borderId="84" xfId="95" applyNumberFormat="1" applyFont="1" applyBorder="1"/>
    <xf numFmtId="3" fontId="114" fillId="0" borderId="0" xfId="96" applyNumberFormat="1" applyFont="1" applyAlignment="1">
      <alignment horizontal="center"/>
    </xf>
    <xf numFmtId="3" fontId="114" fillId="0" borderId="0" xfId="96" applyNumberFormat="1" applyFont="1"/>
    <xf numFmtId="3" fontId="124" fillId="0" borderId="0" xfId="96" applyNumberFormat="1" applyFont="1"/>
    <xf numFmtId="3" fontId="129" fillId="0" borderId="0" xfId="96" applyNumberFormat="1" applyFont="1"/>
    <xf numFmtId="3" fontId="78" fillId="0" borderId="0" xfId="96" applyNumberFormat="1" applyFont="1" applyAlignment="1">
      <alignment horizontal="center"/>
    </xf>
    <xf numFmtId="3" fontId="78" fillId="0" borderId="0" xfId="96" applyNumberFormat="1" applyFont="1"/>
    <xf numFmtId="3" fontId="130" fillId="0" borderId="0" xfId="96" applyNumberFormat="1" applyFont="1"/>
    <xf numFmtId="3" fontId="122" fillId="0" borderId="0" xfId="96" applyNumberFormat="1" applyFont="1"/>
    <xf numFmtId="3" fontId="111" fillId="0" borderId="0" xfId="96" applyNumberFormat="1" applyFont="1"/>
    <xf numFmtId="3" fontId="125" fillId="0" borderId="0" xfId="96" applyNumberFormat="1" applyFont="1"/>
    <xf numFmtId="3" fontId="13" fillId="0" borderId="0" xfId="96" applyNumberFormat="1" applyFont="1"/>
    <xf numFmtId="3" fontId="33" fillId="0" borderId="0" xfId="96" applyNumberFormat="1" applyFont="1"/>
    <xf numFmtId="0" fontId="109" fillId="0" borderId="0" xfId="98" applyFont="1"/>
    <xf numFmtId="3" fontId="109" fillId="0" borderId="0" xfId="98" applyNumberFormat="1" applyFont="1"/>
    <xf numFmtId="0" fontId="134" fillId="0" borderId="0" xfId="100" applyFont="1"/>
    <xf numFmtId="0" fontId="107" fillId="0" borderId="0" xfId="100" applyFont="1"/>
    <xf numFmtId="0" fontId="136" fillId="0" borderId="0" xfId="100" applyFont="1"/>
    <xf numFmtId="0" fontId="135" fillId="0" borderId="0" xfId="100" applyFont="1" applyAlignment="1">
      <alignment horizontal="center"/>
    </xf>
    <xf numFmtId="0" fontId="16" fillId="0" borderId="0" xfId="100" applyFont="1"/>
    <xf numFmtId="0" fontId="16" fillId="0" borderId="0" xfId="100" applyFont="1" applyAlignment="1">
      <alignment horizontal="right"/>
    </xf>
    <xf numFmtId="0" fontId="135" fillId="0" borderId="94" xfId="100" applyFont="1" applyBorder="1" applyAlignment="1">
      <alignment horizontal="center" vertical="center"/>
    </xf>
    <xf numFmtId="0" fontId="135" fillId="0" borderId="28" xfId="100" applyFont="1" applyBorder="1" applyAlignment="1">
      <alignment horizontal="center" vertical="center"/>
    </xf>
    <xf numFmtId="0" fontId="135" fillId="0" borderId="78" xfId="100" applyFont="1" applyBorder="1"/>
    <xf numFmtId="3" fontId="131" fillId="0" borderId="123" xfId="100" applyNumberFormat="1" applyFont="1" applyBorder="1"/>
    <xf numFmtId="3" fontId="131" fillId="0" borderId="58" xfId="100" applyNumberFormat="1" applyFont="1" applyBorder="1"/>
    <xf numFmtId="0" fontId="135" fillId="0" borderId="89" xfId="100" applyFont="1" applyBorder="1"/>
    <xf numFmtId="3" fontId="131" fillId="0" borderId="138" xfId="100" applyNumberFormat="1" applyFont="1" applyBorder="1"/>
    <xf numFmtId="3" fontId="131" fillId="0" borderId="56" xfId="100" applyNumberFormat="1" applyFont="1" applyBorder="1"/>
    <xf numFmtId="0" fontId="105" fillId="0" borderId="77" xfId="100" applyFont="1" applyBorder="1" applyAlignment="1">
      <alignment horizontal="left" vertical="center" wrapText="1"/>
    </xf>
    <xf numFmtId="3" fontId="135" fillId="0" borderId="103" xfId="100" applyNumberFormat="1" applyFont="1" applyBorder="1" applyAlignment="1">
      <alignment horizontal="right" vertical="center"/>
    </xf>
    <xf numFmtId="3" fontId="135" fillId="0" borderId="21" xfId="100" applyNumberFormat="1" applyFont="1" applyBorder="1" applyAlignment="1">
      <alignment horizontal="right" vertical="center"/>
    </xf>
    <xf numFmtId="3" fontId="135" fillId="0" borderId="60" xfId="100" applyNumberFormat="1" applyFont="1" applyBorder="1" applyAlignment="1">
      <alignment horizontal="right" vertical="center"/>
    </xf>
    <xf numFmtId="3" fontId="134" fillId="0" borderId="0" xfId="100" applyNumberFormat="1" applyFont="1" applyAlignment="1">
      <alignment horizontal="right" vertical="center"/>
    </xf>
    <xf numFmtId="0" fontId="134" fillId="0" borderId="0" xfId="100" applyFont="1" applyAlignment="1">
      <alignment horizontal="right" vertical="center"/>
    </xf>
    <xf numFmtId="3" fontId="134" fillId="0" borderId="0" xfId="100" applyNumberFormat="1" applyFont="1"/>
    <xf numFmtId="3" fontId="33" fillId="0" borderId="0" xfId="100" applyNumberFormat="1" applyFont="1"/>
    <xf numFmtId="3" fontId="33" fillId="0" borderId="0" xfId="100" applyNumberFormat="1" applyFont="1" applyAlignment="1">
      <alignment horizontal="center"/>
    </xf>
    <xf numFmtId="0" fontId="33" fillId="0" borderId="0" xfId="100" applyFont="1"/>
    <xf numFmtId="0" fontId="134" fillId="0" borderId="0" xfId="100" applyFont="1" applyAlignment="1">
      <alignment horizontal="right"/>
    </xf>
    <xf numFmtId="0" fontId="135" fillId="0" borderId="61" xfId="100" applyFont="1" applyBorder="1" applyAlignment="1">
      <alignment horizontal="center" vertical="center" wrapText="1"/>
    </xf>
    <xf numFmtId="4" fontId="82" fillId="0" borderId="119" xfId="0" applyNumberFormat="1" applyFont="1" applyBorder="1"/>
    <xf numFmtId="3" fontId="79" fillId="0" borderId="135" xfId="0" applyNumberFormat="1" applyFont="1" applyBorder="1"/>
    <xf numFmtId="2" fontId="79" fillId="0" borderId="27" xfId="77" applyNumberFormat="1" applyFont="1" applyBorder="1"/>
    <xf numFmtId="3" fontId="80" fillId="0" borderId="59" xfId="77" applyNumberFormat="1" applyFont="1" applyBorder="1"/>
    <xf numFmtId="3" fontId="80" fillId="30" borderId="43" xfId="77" applyNumberFormat="1" applyFont="1" applyFill="1" applyBorder="1"/>
    <xf numFmtId="3" fontId="79" fillId="0" borderId="55" xfId="77" applyNumberFormat="1" applyFont="1" applyBorder="1"/>
    <xf numFmtId="3" fontId="79" fillId="30" borderId="129" xfId="77" applyNumberFormat="1" applyFont="1" applyFill="1" applyBorder="1"/>
    <xf numFmtId="3" fontId="79" fillId="30" borderId="74" xfId="77" applyNumberFormat="1" applyFont="1" applyFill="1" applyBorder="1"/>
    <xf numFmtId="3" fontId="79" fillId="30" borderId="79" xfId="77" applyNumberFormat="1" applyFont="1" applyFill="1" applyBorder="1"/>
    <xf numFmtId="3" fontId="83" fillId="30" borderId="79" xfId="77" applyNumberFormat="1" applyFont="1" applyFill="1" applyBorder="1"/>
    <xf numFmtId="3" fontId="79" fillId="30" borderId="132" xfId="77" applyNumberFormat="1" applyFont="1" applyFill="1" applyBorder="1" applyAlignment="1">
      <alignment horizontal="right"/>
    </xf>
    <xf numFmtId="3" fontId="83" fillId="30" borderId="149" xfId="77" applyNumberFormat="1" applyFont="1" applyFill="1" applyBorder="1"/>
    <xf numFmtId="3" fontId="79" fillId="0" borderId="68" xfId="0" applyNumberFormat="1" applyFont="1" applyBorder="1"/>
    <xf numFmtId="3" fontId="79" fillId="0" borderId="71" xfId="0" applyNumberFormat="1" applyFont="1" applyBorder="1"/>
    <xf numFmtId="3" fontId="83" fillId="0" borderId="32" xfId="77" applyNumberFormat="1" applyFont="1" applyBorder="1" applyAlignment="1">
      <alignment horizontal="right" wrapText="1"/>
    </xf>
    <xf numFmtId="3" fontId="83" fillId="0" borderId="58" xfId="77" applyNumberFormat="1" applyFont="1" applyBorder="1" applyAlignment="1">
      <alignment horizontal="right" wrapText="1"/>
    </xf>
    <xf numFmtId="3" fontId="79" fillId="0" borderId="49" xfId="0" applyNumberFormat="1" applyFont="1" applyBorder="1"/>
    <xf numFmtId="3" fontId="79" fillId="0" borderId="58" xfId="77" applyNumberFormat="1" applyFont="1" applyBorder="1" applyAlignment="1">
      <alignment horizontal="right"/>
    </xf>
    <xf numFmtId="3" fontId="79" fillId="0" borderId="32" xfId="77" applyNumberFormat="1" applyFont="1" applyBorder="1" applyAlignment="1">
      <alignment horizontal="right" wrapText="1"/>
    </xf>
    <xf numFmtId="3" fontId="79" fillId="0" borderId="58" xfId="77" applyNumberFormat="1" applyFont="1" applyBorder="1" applyAlignment="1">
      <alignment horizontal="right" wrapText="1"/>
    </xf>
    <xf numFmtId="3" fontId="80" fillId="0" borderId="44" xfId="77" applyNumberFormat="1" applyFont="1" applyBorder="1"/>
    <xf numFmtId="3" fontId="80" fillId="0" borderId="54" xfId="77" applyNumberFormat="1" applyFont="1" applyBorder="1"/>
    <xf numFmtId="3" fontId="80" fillId="0" borderId="77" xfId="77" applyNumberFormat="1" applyFont="1" applyBorder="1"/>
    <xf numFmtId="0" fontId="132" fillId="0" borderId="0" xfId="98" applyFont="1"/>
    <xf numFmtId="0" fontId="137" fillId="0" borderId="0" xfId="98" applyFont="1"/>
    <xf numFmtId="3" fontId="132" fillId="0" borderId="0" xfId="98" applyNumberFormat="1" applyFont="1"/>
    <xf numFmtId="3" fontId="138" fillId="0" borderId="0" xfId="98" applyNumberFormat="1" applyFont="1"/>
    <xf numFmtId="0" fontId="71" fillId="0" borderId="83" xfId="98" applyFont="1" applyBorder="1" applyAlignment="1">
      <alignment horizontal="center" vertical="center"/>
    </xf>
    <xf numFmtId="3" fontId="71" fillId="0" borderId="23" xfId="98" applyNumberFormat="1" applyFont="1" applyBorder="1" applyAlignment="1">
      <alignment horizontal="center" vertical="center"/>
    </xf>
    <xf numFmtId="0" fontId="71" fillId="0" borderId="18" xfId="98" applyFont="1" applyBorder="1" applyAlignment="1">
      <alignment horizontal="center" vertical="center"/>
    </xf>
    <xf numFmtId="3" fontId="71" fillId="0" borderId="18" xfId="98" applyNumberFormat="1" applyFont="1" applyBorder="1" applyAlignment="1">
      <alignment horizontal="center" vertical="center"/>
    </xf>
    <xf numFmtId="0" fontId="71" fillId="0" borderId="44" xfId="98" applyFont="1" applyBorder="1" applyAlignment="1">
      <alignment horizontal="center" vertical="center" wrapText="1"/>
    </xf>
    <xf numFmtId="0" fontId="71" fillId="0" borderId="54" xfId="98" applyFont="1" applyBorder="1" applyAlignment="1">
      <alignment horizontal="center" vertical="center" wrapText="1"/>
    </xf>
    <xf numFmtId="3" fontId="71" fillId="0" borderId="19" xfId="98" applyNumberFormat="1" applyFont="1" applyBorder="1" applyAlignment="1">
      <alignment horizontal="center" vertical="center"/>
    </xf>
    <xf numFmtId="0" fontId="71" fillId="0" borderId="70" xfId="98" applyFont="1" applyBorder="1" applyAlignment="1">
      <alignment horizontal="center" vertical="center"/>
    </xf>
    <xf numFmtId="0" fontId="72" fillId="0" borderId="26" xfId="98" applyFont="1" applyBorder="1"/>
    <xf numFmtId="0" fontId="72" fillId="0" borderId="24" xfId="98" applyFont="1" applyBorder="1"/>
    <xf numFmtId="0" fontId="72" fillId="0" borderId="134" xfId="98" applyFont="1" applyBorder="1"/>
    <xf numFmtId="3" fontId="72" fillId="0" borderId="32" xfId="98" applyNumberFormat="1" applyFont="1" applyBorder="1"/>
    <xf numFmtId="2" fontId="72" fillId="0" borderId="49" xfId="98" applyNumberFormat="1" applyFont="1" applyBorder="1"/>
    <xf numFmtId="3" fontId="72" fillId="0" borderId="58" xfId="98" applyNumberFormat="1" applyFont="1" applyBorder="1"/>
    <xf numFmtId="3" fontId="72" fillId="0" borderId="26" xfId="98" applyNumberFormat="1" applyFont="1" applyBorder="1"/>
    <xf numFmtId="3" fontId="72" fillId="0" borderId="141" xfId="98" applyNumberFormat="1" applyFont="1" applyBorder="1"/>
    <xf numFmtId="3" fontId="72" fillId="0" borderId="78" xfId="98" applyNumberFormat="1" applyFont="1" applyBorder="1"/>
    <xf numFmtId="0" fontId="72" fillId="0" borderId="40" xfId="98" applyFont="1" applyBorder="1"/>
    <xf numFmtId="0" fontId="72" fillId="0" borderId="57" xfId="98" applyFont="1" applyBorder="1"/>
    <xf numFmtId="0" fontId="72" fillId="0" borderId="104" xfId="98" applyFont="1" applyBorder="1"/>
    <xf numFmtId="0" fontId="72" fillId="0" borderId="139" xfId="98" applyFont="1" applyBorder="1"/>
    <xf numFmtId="3" fontId="72" fillId="0" borderId="55" xfId="98" applyNumberFormat="1" applyFont="1" applyBorder="1"/>
    <xf numFmtId="2" fontId="72" fillId="0" borderId="82" xfId="98" applyNumberFormat="1" applyFont="1" applyBorder="1"/>
    <xf numFmtId="3" fontId="72" fillId="0" borderId="56" xfId="98" applyNumberFormat="1" applyFont="1" applyBorder="1"/>
    <xf numFmtId="3" fontId="72" fillId="0" borderId="57" xfId="98" applyNumberFormat="1" applyFont="1" applyBorder="1"/>
    <xf numFmtId="3" fontId="72" fillId="0" borderId="89" xfId="98" applyNumberFormat="1" applyFont="1" applyBorder="1"/>
    <xf numFmtId="3" fontId="72" fillId="0" borderId="24" xfId="98" applyNumberFormat="1" applyFont="1" applyBorder="1"/>
    <xf numFmtId="3" fontId="72" fillId="0" borderId="88" xfId="98" applyNumberFormat="1" applyFont="1" applyBorder="1"/>
    <xf numFmtId="0" fontId="71" fillId="0" borderId="26" xfId="98" applyFont="1" applyBorder="1" applyAlignment="1">
      <alignment horizontal="left"/>
    </xf>
    <xf numFmtId="3" fontId="71" fillId="0" borderId="58" xfId="98" applyNumberFormat="1" applyFont="1" applyBorder="1"/>
    <xf numFmtId="3" fontId="71" fillId="0" borderId="24" xfId="98" applyNumberFormat="1" applyFont="1" applyBorder="1"/>
    <xf numFmtId="3" fontId="71" fillId="0" borderId="78" xfId="98" applyNumberFormat="1" applyFont="1" applyBorder="1"/>
    <xf numFmtId="3" fontId="71" fillId="0" borderId="88" xfId="98" applyNumberFormat="1" applyFont="1" applyBorder="1"/>
    <xf numFmtId="0" fontId="72" fillId="0" borderId="98" xfId="98" applyFont="1" applyBorder="1"/>
    <xf numFmtId="0" fontId="72" fillId="0" borderId="91" xfId="98" applyFont="1" applyBorder="1"/>
    <xf numFmtId="0" fontId="72" fillId="0" borderId="145" xfId="98" applyFont="1" applyBorder="1"/>
    <xf numFmtId="3" fontId="72" fillId="0" borderId="101" xfId="98" applyNumberFormat="1" applyFont="1" applyBorder="1"/>
    <xf numFmtId="2" fontId="72" fillId="0" borderId="146" xfId="98" applyNumberFormat="1" applyFont="1" applyBorder="1"/>
    <xf numFmtId="3" fontId="72" fillId="0" borderId="140" xfId="98" applyNumberFormat="1" applyFont="1" applyBorder="1"/>
    <xf numFmtId="3" fontId="72" fillId="0" borderId="98" xfId="98" applyNumberFormat="1" applyFont="1" applyBorder="1"/>
    <xf numFmtId="3" fontId="72" fillId="0" borderId="113" xfId="98" applyNumberFormat="1" applyFont="1" applyBorder="1"/>
    <xf numFmtId="0" fontId="71" fillId="0" borderId="26" xfId="98" applyFont="1" applyBorder="1"/>
    <xf numFmtId="0" fontId="72" fillId="0" borderId="49" xfId="98" applyFont="1" applyBorder="1"/>
    <xf numFmtId="164" fontId="72" fillId="0" borderId="82" xfId="98" applyNumberFormat="1" applyFont="1" applyBorder="1"/>
    <xf numFmtId="0" fontId="71" fillId="0" borderId="17" xfId="98" applyFont="1" applyBorder="1"/>
    <xf numFmtId="0" fontId="71" fillId="0" borderId="22" xfId="98" applyFont="1" applyBorder="1"/>
    <xf numFmtId="3" fontId="71" fillId="0" borderId="54" xfId="98" applyNumberFormat="1" applyFont="1" applyBorder="1"/>
    <xf numFmtId="3" fontId="71" fillId="0" borderId="44" xfId="98" applyNumberFormat="1" applyFont="1" applyBorder="1"/>
    <xf numFmtId="3" fontId="71" fillId="0" borderId="76" xfId="98" applyNumberFormat="1" applyFont="1" applyBorder="1"/>
    <xf numFmtId="3" fontId="71" fillId="0" borderId="80" xfId="98" applyNumberFormat="1" applyFont="1" applyBorder="1"/>
    <xf numFmtId="0" fontId="71" fillId="0" borderId="20" xfId="98" applyFont="1" applyBorder="1"/>
    <xf numFmtId="0" fontId="72" fillId="0" borderId="93" xfId="98" applyFont="1" applyBorder="1"/>
    <xf numFmtId="3" fontId="71" fillId="0" borderId="60" xfId="98" applyNumberFormat="1" applyFont="1" applyBorder="1"/>
    <xf numFmtId="3" fontId="71" fillId="0" borderId="93" xfId="98" applyNumberFormat="1" applyFont="1" applyBorder="1"/>
    <xf numFmtId="3" fontId="71" fillId="0" borderId="77" xfId="98" applyNumberFormat="1" applyFont="1" applyBorder="1"/>
    <xf numFmtId="3" fontId="71" fillId="0" borderId="81" xfId="98" applyNumberFormat="1" applyFont="1" applyBorder="1"/>
    <xf numFmtId="3" fontId="139" fillId="0" borderId="0" xfId="0" applyNumberFormat="1" applyFont="1"/>
    <xf numFmtId="3" fontId="140" fillId="0" borderId="0" xfId="76" applyNumberFormat="1" applyFont="1"/>
    <xf numFmtId="3" fontId="140" fillId="0" borderId="0" xfId="76" applyNumberFormat="1" applyFont="1" applyAlignment="1">
      <alignment horizontal="right"/>
    </xf>
    <xf numFmtId="3" fontId="141" fillId="0" borderId="0" xfId="76" applyNumberFormat="1" applyFont="1"/>
    <xf numFmtId="3" fontId="140" fillId="0" borderId="0" xfId="76" applyNumberFormat="1" applyFont="1" applyAlignment="1">
      <alignment horizontal="center"/>
    </xf>
    <xf numFmtId="3" fontId="142" fillId="0" borderId="0" xfId="76" applyNumberFormat="1" applyFont="1"/>
    <xf numFmtId="3" fontId="144" fillId="0" borderId="0" xfId="76" applyNumberFormat="1" applyFont="1"/>
    <xf numFmtId="3" fontId="140" fillId="0" borderId="23" xfId="76" applyNumberFormat="1" applyFont="1" applyBorder="1" applyAlignment="1">
      <alignment horizontal="center"/>
    </xf>
    <xf numFmtId="3" fontId="145" fillId="0" borderId="0" xfId="76" applyNumberFormat="1" applyFont="1" applyAlignment="1">
      <alignment horizontal="center"/>
    </xf>
    <xf numFmtId="3" fontId="146" fillId="0" borderId="0" xfId="76" applyNumberFormat="1" applyFont="1" applyAlignment="1">
      <alignment horizontal="center"/>
    </xf>
    <xf numFmtId="3" fontId="140" fillId="0" borderId="18" xfId="76" applyNumberFormat="1" applyFont="1" applyBorder="1" applyAlignment="1">
      <alignment horizontal="center" vertical="center"/>
    </xf>
    <xf numFmtId="3" fontId="140" fillId="0" borderId="19" xfId="76" applyNumberFormat="1" applyFont="1" applyBorder="1" applyAlignment="1">
      <alignment horizontal="center" vertical="center"/>
    </xf>
    <xf numFmtId="3" fontId="140" fillId="0" borderId="0" xfId="76" applyNumberFormat="1" applyFont="1" applyAlignment="1">
      <alignment horizontal="justify"/>
    </xf>
    <xf numFmtId="3" fontId="145" fillId="0" borderId="0" xfId="76" applyNumberFormat="1" applyFont="1" applyAlignment="1">
      <alignment horizontal="justify"/>
    </xf>
    <xf numFmtId="3" fontId="146" fillId="0" borderId="0" xfId="76" applyNumberFormat="1" applyFont="1" applyAlignment="1">
      <alignment horizontal="justify"/>
    </xf>
    <xf numFmtId="3" fontId="140" fillId="0" borderId="70" xfId="76" applyNumberFormat="1" applyFont="1" applyBorder="1" applyAlignment="1">
      <alignment horizontal="center" vertical="center" wrapText="1"/>
    </xf>
    <xf numFmtId="3" fontId="140" fillId="0" borderId="83" xfId="76" applyNumberFormat="1" applyFont="1" applyBorder="1" applyAlignment="1">
      <alignment horizontal="center" vertical="center"/>
    </xf>
    <xf numFmtId="3" fontId="140" fillId="0" borderId="83" xfId="76" applyNumberFormat="1" applyFont="1" applyBorder="1" applyAlignment="1">
      <alignment horizontal="right"/>
    </xf>
    <xf numFmtId="3" fontId="147" fillId="0" borderId="113" xfId="76" applyNumberFormat="1" applyFont="1" applyBorder="1" applyAlignment="1">
      <alignment horizontal="left"/>
    </xf>
    <xf numFmtId="3" fontId="147" fillId="0" borderId="113" xfId="76" applyNumberFormat="1" applyFont="1" applyBorder="1" applyAlignment="1">
      <alignment horizontal="right"/>
    </xf>
    <xf numFmtId="10" fontId="147" fillId="0" borderId="113" xfId="76" applyNumberFormat="1" applyFont="1" applyBorder="1" applyAlignment="1">
      <alignment horizontal="right"/>
    </xf>
    <xf numFmtId="3" fontId="140" fillId="0" borderId="113" xfId="76" applyNumberFormat="1" applyFont="1" applyBorder="1" applyAlignment="1">
      <alignment horizontal="right"/>
    </xf>
    <xf numFmtId="10" fontId="140" fillId="0" borderId="113" xfId="76" applyNumberFormat="1" applyFont="1" applyBorder="1" applyAlignment="1">
      <alignment horizontal="right"/>
    </xf>
    <xf numFmtId="3" fontId="147" fillId="0" borderId="70" xfId="76" applyNumberFormat="1" applyFont="1" applyBorder="1" applyAlignment="1">
      <alignment horizontal="left"/>
    </xf>
    <xf numFmtId="3" fontId="147" fillId="0" borderId="69" xfId="76" applyNumberFormat="1" applyFont="1" applyBorder="1" applyAlignment="1">
      <alignment horizontal="right"/>
    </xf>
    <xf numFmtId="10" fontId="147" fillId="0" borderId="69" xfId="76" applyNumberFormat="1" applyFont="1" applyBorder="1" applyAlignment="1">
      <alignment horizontal="right"/>
    </xf>
    <xf numFmtId="10" fontId="140" fillId="0" borderId="69" xfId="76" applyNumberFormat="1" applyFont="1" applyBorder="1" applyAlignment="1">
      <alignment horizontal="right"/>
    </xf>
    <xf numFmtId="10" fontId="147" fillId="0" borderId="76" xfId="76" applyNumberFormat="1" applyFont="1" applyBorder="1" applyAlignment="1">
      <alignment horizontal="right"/>
    </xf>
    <xf numFmtId="3" fontId="140" fillId="0" borderId="17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right"/>
    </xf>
    <xf numFmtId="10" fontId="140" fillId="0" borderId="77" xfId="76" applyNumberFormat="1" applyFont="1" applyBorder="1" applyAlignment="1">
      <alignment horizontal="right"/>
    </xf>
    <xf numFmtId="3" fontId="147" fillId="0" borderId="17" xfId="76" applyNumberFormat="1" applyFont="1" applyBorder="1" applyAlignment="1">
      <alignment horizontal="left"/>
    </xf>
    <xf numFmtId="3" fontId="147" fillId="0" borderId="77" xfId="76" applyNumberFormat="1" applyFont="1" applyBorder="1" applyAlignment="1">
      <alignment horizontal="right"/>
    </xf>
    <xf numFmtId="10" fontId="147" fillId="0" borderId="77" xfId="76" applyNumberFormat="1" applyFont="1" applyBorder="1" applyAlignment="1">
      <alignment horizontal="right"/>
    </xf>
    <xf numFmtId="10" fontId="140" fillId="0" borderId="70" xfId="76" applyNumberFormat="1" applyFont="1" applyBorder="1" applyAlignment="1">
      <alignment horizontal="right"/>
    </xf>
    <xf numFmtId="3" fontId="140" fillId="0" borderId="69" xfId="76" applyNumberFormat="1" applyFont="1" applyBorder="1" applyAlignment="1">
      <alignment horizontal="center" vertical="center"/>
    </xf>
    <xf numFmtId="3" fontId="140" fillId="0" borderId="69" xfId="76" applyNumberFormat="1" applyFont="1" applyBorder="1" applyAlignment="1">
      <alignment horizontal="right"/>
    </xf>
    <xf numFmtId="3" fontId="148" fillId="0" borderId="69" xfId="76" applyNumberFormat="1" applyFont="1" applyBorder="1" applyAlignment="1">
      <alignment horizontal="center"/>
    </xf>
    <xf numFmtId="3" fontId="147" fillId="0" borderId="69" xfId="76" applyNumberFormat="1" applyFont="1" applyBorder="1" applyAlignment="1">
      <alignment horizontal="justify"/>
    </xf>
    <xf numFmtId="3" fontId="147" fillId="0" borderId="78" xfId="76" applyNumberFormat="1" applyFont="1" applyBorder="1" applyAlignment="1">
      <alignment horizontal="left"/>
    </xf>
    <xf numFmtId="3" fontId="147" fillId="0" borderId="78" xfId="76" applyNumberFormat="1" applyFont="1" applyBorder="1" applyAlignment="1">
      <alignment horizontal="right"/>
    </xf>
    <xf numFmtId="3" fontId="147" fillId="0" borderId="89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left"/>
    </xf>
    <xf numFmtId="3" fontId="148" fillId="0" borderId="83" xfId="76" applyNumberFormat="1" applyFont="1" applyBorder="1" applyAlignment="1">
      <alignment horizontal="center"/>
    </xf>
    <xf numFmtId="10" fontId="147" fillId="0" borderId="70" xfId="76" applyNumberFormat="1" applyFont="1" applyBorder="1" applyAlignment="1">
      <alignment horizontal="right"/>
    </xf>
    <xf numFmtId="3" fontId="142" fillId="0" borderId="0" xfId="76" applyNumberFormat="1" applyFont="1" applyAlignment="1">
      <alignment horizontal="justify"/>
    </xf>
    <xf numFmtId="3" fontId="147" fillId="0" borderId="75" xfId="76" applyNumberFormat="1" applyFont="1" applyBorder="1" applyAlignment="1">
      <alignment horizontal="right"/>
    </xf>
    <xf numFmtId="3" fontId="147" fillId="0" borderId="75" xfId="76" applyNumberFormat="1" applyFont="1" applyBorder="1"/>
    <xf numFmtId="3" fontId="147" fillId="0" borderId="113" xfId="76" applyNumberFormat="1" applyFont="1" applyBorder="1" applyAlignment="1">
      <alignment horizontal="justify"/>
    </xf>
    <xf numFmtId="3" fontId="147" fillId="0" borderId="113" xfId="76" applyNumberFormat="1" applyFont="1" applyBorder="1"/>
    <xf numFmtId="3" fontId="147" fillId="0" borderId="76" xfId="76" applyNumberFormat="1" applyFont="1" applyBorder="1" applyAlignment="1">
      <alignment horizontal="justify"/>
    </xf>
    <xf numFmtId="3" fontId="147" fillId="0" borderId="76" xfId="76" applyNumberFormat="1" applyFont="1" applyBorder="1" applyAlignment="1">
      <alignment horizontal="right"/>
    </xf>
    <xf numFmtId="3" fontId="140" fillId="0" borderId="76" xfId="76" applyNumberFormat="1" applyFont="1" applyBorder="1" applyAlignment="1">
      <alignment horizontal="right"/>
    </xf>
    <xf numFmtId="10" fontId="140" fillId="0" borderId="76" xfId="76" applyNumberFormat="1" applyFont="1" applyBorder="1" applyAlignment="1">
      <alignment horizontal="right"/>
    </xf>
    <xf numFmtId="3" fontId="140" fillId="0" borderId="70" xfId="76" applyNumberFormat="1" applyFont="1" applyBorder="1" applyAlignment="1">
      <alignment horizontal="left"/>
    </xf>
    <xf numFmtId="3" fontId="140" fillId="0" borderId="70" xfId="76" applyNumberFormat="1" applyFont="1" applyBorder="1" applyAlignment="1">
      <alignment horizontal="right"/>
    </xf>
    <xf numFmtId="3" fontId="140" fillId="0" borderId="77" xfId="76" applyNumberFormat="1" applyFont="1" applyBorder="1" applyAlignment="1">
      <alignment horizontal="left" vertical="center"/>
    </xf>
    <xf numFmtId="0" fontId="140" fillId="0" borderId="0" xfId="76" applyFont="1" applyAlignment="1">
      <alignment horizontal="left"/>
    </xf>
    <xf numFmtId="3" fontId="149" fillId="0" borderId="0" xfId="76" applyNumberFormat="1" applyFont="1" applyAlignment="1">
      <alignment horizontal="right"/>
    </xf>
    <xf numFmtId="3" fontId="149" fillId="0" borderId="0" xfId="76" applyNumberFormat="1" applyFont="1" applyAlignment="1">
      <alignment horizontal="center"/>
    </xf>
    <xf numFmtId="3" fontId="149" fillId="0" borderId="0" xfId="76" applyNumberFormat="1" applyFont="1"/>
    <xf numFmtId="3" fontId="150" fillId="0" borderId="0" xfId="76" applyNumberFormat="1" applyFont="1"/>
    <xf numFmtId="0" fontId="140" fillId="0" borderId="0" xfId="76" applyFont="1"/>
    <xf numFmtId="0" fontId="142" fillId="0" borderId="0" xfId="76" applyFont="1"/>
    <xf numFmtId="3" fontId="142" fillId="0" borderId="0" xfId="76" applyNumberFormat="1" applyFont="1" applyAlignment="1">
      <alignment horizontal="right"/>
    </xf>
    <xf numFmtId="3" fontId="142" fillId="0" borderId="0" xfId="76" applyNumberFormat="1" applyFont="1" applyAlignment="1">
      <alignment horizontal="center"/>
    </xf>
    <xf numFmtId="3" fontId="151" fillId="0" borderId="0" xfId="76" applyNumberFormat="1" applyFont="1"/>
    <xf numFmtId="3" fontId="152" fillId="0" borderId="0" xfId="76" applyNumberFormat="1" applyFont="1"/>
    <xf numFmtId="3" fontId="85" fillId="0" borderId="0" xfId="76" applyNumberFormat="1" applyFont="1" applyAlignment="1">
      <alignment horizontal="right"/>
    </xf>
    <xf numFmtId="3" fontId="153" fillId="0" borderId="0" xfId="76" applyNumberFormat="1" applyFont="1" applyAlignment="1">
      <alignment horizontal="left"/>
    </xf>
    <xf numFmtId="3" fontId="85" fillId="0" borderId="0" xfId="76" applyNumberFormat="1" applyFont="1"/>
    <xf numFmtId="3" fontId="8" fillId="0" borderId="0" xfId="76" applyNumberFormat="1" applyFont="1"/>
    <xf numFmtId="3" fontId="154" fillId="0" borderId="0" xfId="76" applyNumberFormat="1" applyFont="1"/>
    <xf numFmtId="3" fontId="155" fillId="0" borderId="0" xfId="76" applyNumberFormat="1" applyFont="1"/>
    <xf numFmtId="3" fontId="147" fillId="0" borderId="23" xfId="76" applyNumberFormat="1" applyFont="1" applyBorder="1" applyAlignment="1">
      <alignment horizontal="left"/>
    </xf>
    <xf numFmtId="3" fontId="86" fillId="0" borderId="0" xfId="76" applyNumberFormat="1" applyFont="1" applyAlignment="1">
      <alignment horizontal="center"/>
    </xf>
    <xf numFmtId="3" fontId="15" fillId="0" borderId="0" xfId="76" applyNumberFormat="1" applyFont="1" applyAlignment="1">
      <alignment horizontal="center"/>
    </xf>
    <xf numFmtId="3" fontId="140" fillId="0" borderId="18" xfId="76" applyNumberFormat="1" applyFont="1" applyBorder="1" applyAlignment="1">
      <alignment horizontal="center"/>
    </xf>
    <xf numFmtId="3" fontId="147" fillId="0" borderId="18" xfId="76" applyNumberFormat="1" applyFont="1" applyBorder="1" applyAlignment="1">
      <alignment horizontal="left"/>
    </xf>
    <xf numFmtId="3" fontId="86" fillId="0" borderId="0" xfId="76" applyNumberFormat="1" applyFont="1" applyAlignment="1">
      <alignment horizontal="justify"/>
    </xf>
    <xf numFmtId="3" fontId="15" fillId="0" borderId="0" xfId="76" applyNumberFormat="1" applyFont="1" applyAlignment="1">
      <alignment horizontal="justify"/>
    </xf>
    <xf numFmtId="3" fontId="141" fillId="0" borderId="0" xfId="76" applyNumberFormat="1" applyFont="1" applyAlignment="1">
      <alignment horizontal="justify"/>
    </xf>
    <xf numFmtId="3" fontId="151" fillId="0" borderId="0" xfId="76" applyNumberFormat="1" applyFont="1" applyAlignment="1">
      <alignment horizontal="justify"/>
    </xf>
    <xf numFmtId="3" fontId="86" fillId="0" borderId="0" xfId="76" applyNumberFormat="1" applyFont="1"/>
    <xf numFmtId="3" fontId="15" fillId="0" borderId="0" xfId="76" applyNumberFormat="1" applyFont="1"/>
    <xf numFmtId="0" fontId="147" fillId="0" borderId="0" xfId="76" applyFont="1" applyAlignment="1">
      <alignment horizontal="left"/>
    </xf>
    <xf numFmtId="3" fontId="147" fillId="0" borderId="0" xfId="76" applyNumberFormat="1" applyFont="1" applyAlignment="1">
      <alignment horizontal="right"/>
    </xf>
    <xf numFmtId="3" fontId="147" fillId="0" borderId="0" xfId="76" applyNumberFormat="1" applyFont="1"/>
    <xf numFmtId="3" fontId="147" fillId="0" borderId="0" xfId="76" applyNumberFormat="1" applyFont="1" applyAlignment="1">
      <alignment horizontal="left"/>
    </xf>
    <xf numFmtId="3" fontId="156" fillId="0" borderId="0" xfId="76" applyNumberFormat="1" applyFont="1"/>
    <xf numFmtId="3" fontId="157" fillId="0" borderId="0" xfId="76" applyNumberFormat="1" applyFont="1" applyAlignment="1">
      <alignment horizontal="right"/>
    </xf>
    <xf numFmtId="3" fontId="158" fillId="0" borderId="0" xfId="76" applyNumberFormat="1" applyFont="1" applyAlignment="1">
      <alignment horizontal="left"/>
    </xf>
    <xf numFmtId="3" fontId="157" fillId="0" borderId="0" xfId="76" applyNumberFormat="1" applyFont="1"/>
    <xf numFmtId="3" fontId="55" fillId="0" borderId="0" xfId="76" applyNumberFormat="1" applyFont="1"/>
    <xf numFmtId="3" fontId="8" fillId="0" borderId="0" xfId="76" applyNumberFormat="1" applyFont="1" applyAlignment="1">
      <alignment horizontal="right"/>
    </xf>
    <xf numFmtId="3" fontId="159" fillId="0" borderId="0" xfId="76" applyNumberFormat="1" applyFont="1" applyAlignment="1">
      <alignment horizontal="left"/>
    </xf>
    <xf numFmtId="3" fontId="61" fillId="0" borderId="0" xfId="76" applyNumberFormat="1" applyFont="1"/>
    <xf numFmtId="0" fontId="161" fillId="0" borderId="0" xfId="101" applyFont="1"/>
    <xf numFmtId="0" fontId="162" fillId="0" borderId="0" xfId="102" applyFont="1"/>
    <xf numFmtId="0" fontId="160" fillId="0" borderId="0" xfId="101" applyFont="1"/>
    <xf numFmtId="0" fontId="163" fillId="0" borderId="0" xfId="101" applyFont="1" applyAlignment="1">
      <alignment horizontal="center"/>
    </xf>
    <xf numFmtId="0" fontId="14" fillId="0" borderId="0" xfId="101" applyFont="1"/>
    <xf numFmtId="0" fontId="119" fillId="0" borderId="0" xfId="102"/>
    <xf numFmtId="0" fontId="160" fillId="0" borderId="83" xfId="101" applyFont="1" applyBorder="1"/>
    <xf numFmtId="0" fontId="165" fillId="0" borderId="0" xfId="102" applyFont="1"/>
    <xf numFmtId="3" fontId="160" fillId="0" borderId="69" xfId="103" applyNumberFormat="1" applyFont="1" applyBorder="1" applyAlignment="1">
      <alignment horizontal="center"/>
    </xf>
    <xf numFmtId="4" fontId="160" fillId="0" borderId="86" xfId="101" applyNumberFormat="1" applyFont="1" applyBorder="1" applyAlignment="1">
      <alignment horizontal="center"/>
    </xf>
    <xf numFmtId="3" fontId="160" fillId="0" borderId="70" xfId="103" applyNumberFormat="1" applyFont="1" applyBorder="1" applyAlignment="1">
      <alignment horizontal="left"/>
    </xf>
    <xf numFmtId="4" fontId="160" fillId="0" borderId="70" xfId="101" applyNumberFormat="1" applyFont="1" applyBorder="1" applyAlignment="1">
      <alignment horizontal="center"/>
    </xf>
    <xf numFmtId="3" fontId="160" fillId="0" borderId="70" xfId="101" applyNumberFormat="1" applyFont="1" applyBorder="1" applyAlignment="1">
      <alignment horizontal="center"/>
    </xf>
    <xf numFmtId="4" fontId="166" fillId="0" borderId="69" xfId="101" applyNumberFormat="1" applyFont="1" applyBorder="1" applyAlignment="1">
      <alignment horizontal="center"/>
    </xf>
    <xf numFmtId="4" fontId="152" fillId="0" borderId="83" xfId="101" applyNumberFormat="1" applyFont="1" applyBorder="1" applyAlignment="1">
      <alignment horizontal="justify"/>
    </xf>
    <xf numFmtId="4" fontId="152" fillId="0" borderId="53" xfId="101" applyNumberFormat="1" applyFont="1" applyBorder="1" applyAlignment="1">
      <alignment horizontal="justify"/>
    </xf>
    <xf numFmtId="0" fontId="55" fillId="0" borderId="0" xfId="101" applyFont="1" applyAlignment="1">
      <alignment horizontal="justify"/>
    </xf>
    <xf numFmtId="0" fontId="119" fillId="0" borderId="0" xfId="102" applyAlignment="1">
      <alignment horizontal="justify"/>
    </xf>
    <xf numFmtId="3" fontId="167" fillId="0" borderId="113" xfId="0" applyNumberFormat="1" applyFont="1" applyBorder="1" applyAlignment="1">
      <alignment horizontal="left"/>
    </xf>
    <xf numFmtId="4" fontId="168" fillId="0" borderId="69" xfId="101" applyNumberFormat="1" applyFont="1" applyBorder="1"/>
    <xf numFmtId="3" fontId="168" fillId="0" borderId="86" xfId="101" applyNumberFormat="1" applyFont="1" applyBorder="1"/>
    <xf numFmtId="4" fontId="168" fillId="0" borderId="86" xfId="101" applyNumberFormat="1" applyFont="1" applyBorder="1"/>
    <xf numFmtId="4" fontId="164" fillId="0" borderId="86" xfId="101" applyNumberFormat="1" applyFont="1" applyBorder="1"/>
    <xf numFmtId="3" fontId="164" fillId="0" borderId="86" xfId="101" applyNumberFormat="1" applyFont="1" applyBorder="1"/>
    <xf numFmtId="0" fontId="55" fillId="0" borderId="0" xfId="101" applyFont="1"/>
    <xf numFmtId="3" fontId="167" fillId="0" borderId="78" xfId="0" applyNumberFormat="1" applyFont="1" applyBorder="1" applyAlignment="1">
      <alignment horizontal="left"/>
    </xf>
    <xf numFmtId="4" fontId="168" fillId="0" borderId="78" xfId="101" applyNumberFormat="1" applyFont="1" applyBorder="1"/>
    <xf numFmtId="3" fontId="168" fillId="0" borderId="88" xfId="101" applyNumberFormat="1" applyFont="1" applyBorder="1"/>
    <xf numFmtId="4" fontId="164" fillId="0" borderId="78" xfId="101" applyNumberFormat="1" applyFont="1" applyBorder="1"/>
    <xf numFmtId="3" fontId="164" fillId="0" borderId="88" xfId="101" applyNumberFormat="1" applyFont="1" applyBorder="1"/>
    <xf numFmtId="3" fontId="167" fillId="0" borderId="69" xfId="0" applyNumberFormat="1" applyFont="1" applyBorder="1" applyAlignment="1">
      <alignment horizontal="left"/>
    </xf>
    <xf numFmtId="4" fontId="160" fillId="0" borderId="77" xfId="101" applyNumberFormat="1" applyFont="1" applyBorder="1"/>
    <xf numFmtId="4" fontId="164" fillId="0" borderId="77" xfId="101" applyNumberFormat="1" applyFont="1" applyBorder="1"/>
    <xf numFmtId="3" fontId="164" fillId="0" borderId="77" xfId="101" applyNumberFormat="1" applyFont="1" applyBorder="1"/>
    <xf numFmtId="4" fontId="167" fillId="0" borderId="77" xfId="101" applyNumberFormat="1" applyFont="1" applyBorder="1"/>
    <xf numFmtId="3" fontId="164" fillId="0" borderId="81" xfId="101" applyNumberFormat="1" applyFont="1" applyBorder="1"/>
    <xf numFmtId="4" fontId="166" fillId="0" borderId="83" xfId="101" applyNumberFormat="1" applyFont="1" applyBorder="1" applyAlignment="1">
      <alignment horizontal="center"/>
    </xf>
    <xf numFmtId="3" fontId="167" fillId="0" borderId="75" xfId="0" applyNumberFormat="1" applyFont="1" applyBorder="1" applyAlignment="1">
      <alignment horizontal="left" wrapText="1"/>
    </xf>
    <xf numFmtId="4" fontId="168" fillId="0" borderId="88" xfId="101" applyNumberFormat="1" applyFont="1" applyBorder="1"/>
    <xf numFmtId="3" fontId="167" fillId="0" borderId="76" xfId="0" applyNumberFormat="1" applyFont="1" applyBorder="1" applyAlignment="1">
      <alignment horizontal="left"/>
    </xf>
    <xf numFmtId="4" fontId="164" fillId="0" borderId="81" xfId="101" applyNumberFormat="1" applyFont="1" applyBorder="1"/>
    <xf numFmtId="4" fontId="164" fillId="0" borderId="53" xfId="101" applyNumberFormat="1" applyFont="1" applyBorder="1"/>
    <xf numFmtId="4" fontId="168" fillId="0" borderId="53" xfId="101" applyNumberFormat="1" applyFont="1" applyBorder="1"/>
    <xf numFmtId="3" fontId="167" fillId="0" borderId="75" xfId="0" applyNumberFormat="1" applyFont="1" applyBorder="1" applyAlignment="1">
      <alignment horizontal="left"/>
    </xf>
    <xf numFmtId="4" fontId="168" fillId="0" borderId="113" xfId="101" applyNumberFormat="1" applyFont="1" applyBorder="1"/>
    <xf numFmtId="3" fontId="168" fillId="0" borderId="100" xfId="101" applyNumberFormat="1" applyFont="1" applyBorder="1"/>
    <xf numFmtId="4" fontId="164" fillId="0" borderId="100" xfId="101" applyNumberFormat="1" applyFont="1" applyBorder="1"/>
    <xf numFmtId="3" fontId="164" fillId="0" borderId="100" xfId="101" applyNumberFormat="1" applyFont="1" applyBorder="1"/>
    <xf numFmtId="0" fontId="167" fillId="0" borderId="78" xfId="0" applyFont="1" applyBorder="1" applyAlignment="1">
      <alignment horizontal="left"/>
    </xf>
    <xf numFmtId="4" fontId="168" fillId="0" borderId="76" xfId="101" applyNumberFormat="1" applyFont="1" applyBorder="1"/>
    <xf numFmtId="3" fontId="168" fillId="0" borderId="80" xfId="101" applyNumberFormat="1" applyFont="1" applyBorder="1"/>
    <xf numFmtId="4" fontId="168" fillId="0" borderId="80" xfId="101" applyNumberFormat="1" applyFont="1" applyBorder="1"/>
    <xf numFmtId="4" fontId="164" fillId="0" borderId="80" xfId="101" applyNumberFormat="1" applyFont="1" applyBorder="1"/>
    <xf numFmtId="3" fontId="164" fillId="0" borderId="80" xfId="101" applyNumberFormat="1" applyFont="1" applyBorder="1"/>
    <xf numFmtId="4" fontId="164" fillId="0" borderId="84" xfId="101" applyNumberFormat="1" applyFont="1" applyBorder="1"/>
    <xf numFmtId="3" fontId="164" fillId="0" borderId="84" xfId="101" applyNumberFormat="1" applyFont="1" applyBorder="1"/>
    <xf numFmtId="4" fontId="160" fillId="0" borderId="70" xfId="101" applyNumberFormat="1" applyFont="1" applyBorder="1"/>
    <xf numFmtId="4" fontId="160" fillId="0" borderId="70" xfId="101" applyNumberFormat="1" applyFont="1" applyBorder="1" applyAlignment="1">
      <alignment horizontal="left"/>
    </xf>
    <xf numFmtId="49" fontId="169" fillId="0" borderId="0" xfId="101" applyNumberFormat="1" applyFont="1"/>
    <xf numFmtId="4" fontId="170" fillId="0" borderId="0" xfId="101" applyNumberFormat="1" applyFont="1"/>
    <xf numFmtId="3" fontId="171" fillId="0" borderId="0" xfId="101" applyNumberFormat="1" applyFont="1"/>
    <xf numFmtId="0" fontId="170" fillId="0" borderId="0" xfId="101" applyFont="1"/>
    <xf numFmtId="0" fontId="172" fillId="0" borderId="0" xfId="102" applyFont="1"/>
    <xf numFmtId="49" fontId="161" fillId="0" borderId="0" xfId="101" applyNumberFormat="1" applyFont="1"/>
    <xf numFmtId="0" fontId="60" fillId="0" borderId="0" xfId="102" applyFont="1"/>
    <xf numFmtId="0" fontId="169" fillId="0" borderId="0" xfId="101" applyFont="1"/>
    <xf numFmtId="4" fontId="173" fillId="0" borderId="0" xfId="101" applyNumberFormat="1" applyFont="1"/>
    <xf numFmtId="0" fontId="174" fillId="0" borderId="0" xfId="101" applyFont="1"/>
    <xf numFmtId="3" fontId="170" fillId="0" borderId="0" xfId="101" applyNumberFormat="1" applyFont="1"/>
    <xf numFmtId="0" fontId="175" fillId="0" borderId="0" xfId="101" applyFont="1"/>
    <xf numFmtId="0" fontId="176" fillId="0" borderId="0" xfId="101" applyFont="1"/>
    <xf numFmtId="0" fontId="169" fillId="0" borderId="0" xfId="101" applyFont="1" applyAlignment="1">
      <alignment horizontal="left"/>
    </xf>
    <xf numFmtId="49" fontId="170" fillId="0" borderId="0" xfId="101" applyNumberFormat="1" applyFont="1"/>
    <xf numFmtId="49" fontId="55" fillId="0" borderId="0" xfId="101" applyNumberFormat="1" applyFont="1"/>
    <xf numFmtId="0" fontId="177" fillId="0" borderId="23" xfId="0" applyFont="1" applyBorder="1"/>
    <xf numFmtId="3" fontId="177" fillId="0" borderId="27" xfId="0" applyNumberFormat="1" applyFont="1" applyBorder="1" applyAlignment="1">
      <alignment horizontal="right"/>
    </xf>
    <xf numFmtId="0" fontId="90" fillId="0" borderId="26" xfId="0" quotePrefix="1" applyFont="1" applyBorder="1"/>
    <xf numFmtId="3" fontId="90" fillId="0" borderId="58" xfId="0" quotePrefix="1" applyNumberFormat="1" applyFont="1" applyBorder="1" applyAlignment="1">
      <alignment horizontal="right"/>
    </xf>
    <xf numFmtId="49" fontId="91" fillId="0" borderId="18" xfId="0" applyNumberFormat="1" applyFont="1" applyBorder="1"/>
    <xf numFmtId="0" fontId="91" fillId="0" borderId="26" xfId="0" quotePrefix="1" applyFont="1" applyBorder="1"/>
    <xf numFmtId="3" fontId="91" fillId="0" borderId="58" xfId="0" quotePrefix="1" applyNumberFormat="1" applyFont="1" applyBorder="1" applyAlignment="1">
      <alignment horizontal="right"/>
    </xf>
    <xf numFmtId="49" fontId="91" fillId="0" borderId="26" xfId="0" quotePrefix="1" applyNumberFormat="1" applyFont="1" applyBorder="1" applyAlignment="1">
      <alignment wrapText="1"/>
    </xf>
    <xf numFmtId="0" fontId="177" fillId="0" borderId="17" xfId="0" applyFont="1" applyBorder="1"/>
    <xf numFmtId="3" fontId="177" fillId="0" borderId="54" xfId="0" quotePrefix="1" applyNumberFormat="1" applyFont="1" applyBorder="1" applyAlignment="1">
      <alignment horizontal="right"/>
    </xf>
    <xf numFmtId="0" fontId="91" fillId="0" borderId="18" xfId="0" applyFont="1" applyBorder="1"/>
    <xf numFmtId="3" fontId="91" fillId="0" borderId="59" xfId="0" applyNumberFormat="1" applyFont="1" applyBorder="1" applyAlignment="1">
      <alignment horizontal="right"/>
    </xf>
    <xf numFmtId="0" fontId="91" fillId="0" borderId="26" xfId="0" applyFont="1" applyBorder="1"/>
    <xf numFmtId="3" fontId="91" fillId="0" borderId="58" xfId="0" applyNumberFormat="1" applyFont="1" applyBorder="1" applyAlignment="1">
      <alignment horizontal="right"/>
    </xf>
    <xf numFmtId="0" fontId="91" fillId="0" borderId="19" xfId="0" applyFont="1" applyBorder="1"/>
    <xf numFmtId="3" fontId="91" fillId="0" borderId="28" xfId="0" applyNumberFormat="1" applyFont="1" applyBorder="1" applyAlignment="1">
      <alignment horizontal="right"/>
    </xf>
    <xf numFmtId="3" fontId="95" fillId="0" borderId="59" xfId="0" applyNumberFormat="1" applyFont="1" applyBorder="1"/>
    <xf numFmtId="0" fontId="178" fillId="0" borderId="20" xfId="93" applyFont="1" applyBorder="1" applyAlignment="1">
      <alignment horizontal="centerContinuous"/>
    </xf>
    <xf numFmtId="3" fontId="178" fillId="0" borderId="121" xfId="93" applyNumberFormat="1" applyFont="1" applyBorder="1" applyAlignment="1">
      <alignment horizontal="centerContinuous"/>
    </xf>
    <xf numFmtId="0" fontId="178" fillId="0" borderId="93" xfId="93" applyFont="1" applyBorder="1" applyAlignment="1">
      <alignment horizontal="centerContinuous"/>
    </xf>
    <xf numFmtId="3" fontId="178" fillId="0" borderId="93" xfId="93" applyNumberFormat="1" applyFont="1" applyBorder="1" applyAlignment="1">
      <alignment horizontal="centerContinuous"/>
    </xf>
    <xf numFmtId="3" fontId="178" fillId="0" borderId="81" xfId="93" applyNumberFormat="1" applyFont="1" applyBorder="1" applyAlignment="1">
      <alignment horizontal="justify"/>
    </xf>
    <xf numFmtId="0" fontId="178" fillId="0" borderId="18" xfId="93" applyFont="1" applyBorder="1"/>
    <xf numFmtId="3" fontId="178" fillId="0" borderId="31" xfId="93" applyNumberFormat="1" applyFont="1" applyBorder="1"/>
    <xf numFmtId="0" fontId="178" fillId="0" borderId="0" xfId="93" applyFont="1"/>
    <xf numFmtId="3" fontId="178" fillId="0" borderId="0" xfId="93" applyNumberFormat="1" applyFont="1"/>
    <xf numFmtId="0" fontId="179" fillId="0" borderId="86" xfId="93" applyFont="1" applyBorder="1"/>
    <xf numFmtId="0" fontId="179" fillId="0" borderId="18" xfId="93" applyFont="1" applyBorder="1"/>
    <xf numFmtId="3" fontId="179" fillId="0" borderId="31" xfId="93" applyNumberFormat="1" applyFont="1" applyBorder="1" applyAlignment="1">
      <alignment horizontal="center"/>
    </xf>
    <xf numFmtId="0" fontId="179" fillId="0" borderId="0" xfId="93" applyFont="1"/>
    <xf numFmtId="3" fontId="179" fillId="0" borderId="0" xfId="93" applyNumberFormat="1" applyFont="1"/>
    <xf numFmtId="3" fontId="179" fillId="0" borderId="31" xfId="93" applyNumberFormat="1" applyFont="1" applyBorder="1"/>
    <xf numFmtId="0" fontId="178" fillId="0" borderId="17" xfId="93" applyFont="1" applyBorder="1"/>
    <xf numFmtId="3" fontId="178" fillId="0" borderId="124" xfId="93" applyNumberFormat="1" applyFont="1" applyBorder="1" applyAlignment="1">
      <alignment horizontal="center"/>
    </xf>
    <xf numFmtId="0" fontId="178" fillId="0" borderId="22" xfId="93" applyFont="1" applyBorder="1"/>
    <xf numFmtId="3" fontId="178" fillId="0" borderId="22" xfId="93" applyNumberFormat="1" applyFont="1" applyBorder="1"/>
    <xf numFmtId="3" fontId="178" fillId="0" borderId="80" xfId="93" applyNumberFormat="1" applyFont="1" applyBorder="1"/>
    <xf numFmtId="0" fontId="178" fillId="0" borderId="86" xfId="93" applyFont="1" applyBorder="1"/>
    <xf numFmtId="3" fontId="178" fillId="0" borderId="31" xfId="93" applyNumberFormat="1" applyFont="1" applyBorder="1" applyAlignment="1">
      <alignment horizontal="center"/>
    </xf>
    <xf numFmtId="3" fontId="179" fillId="0" borderId="86" xfId="93" applyNumberFormat="1" applyFont="1" applyBorder="1"/>
    <xf numFmtId="0" fontId="179" fillId="0" borderId="47" xfId="93" applyFont="1" applyBorder="1"/>
    <xf numFmtId="3" fontId="179" fillId="0" borderId="31" xfId="93" applyNumberFormat="1" applyFont="1" applyBorder="1" applyAlignment="1">
      <alignment horizontal="right"/>
    </xf>
    <xf numFmtId="0" fontId="179" fillId="0" borderId="18" xfId="93" applyFont="1" applyBorder="1" applyAlignment="1">
      <alignment horizontal="left"/>
    </xf>
    <xf numFmtId="3" fontId="178" fillId="0" borderId="124" xfId="93" applyNumberFormat="1" applyFont="1" applyBorder="1" applyAlignment="1">
      <alignment horizontal="right"/>
    </xf>
    <xf numFmtId="0" fontId="179" fillId="0" borderId="0" xfId="93" applyFont="1" applyAlignment="1">
      <alignment horizontal="right"/>
    </xf>
    <xf numFmtId="0" fontId="178" fillId="0" borderId="23" xfId="93" applyFont="1" applyBorder="1"/>
    <xf numFmtId="3" fontId="179" fillId="0" borderId="63" xfId="93" applyNumberFormat="1" applyFont="1" applyBorder="1" applyAlignment="1">
      <alignment horizontal="right"/>
    </xf>
    <xf numFmtId="0" fontId="179" fillId="0" borderId="46" xfId="93" applyFont="1" applyBorder="1"/>
    <xf numFmtId="3" fontId="179" fillId="0" borderId="46" xfId="93" applyNumberFormat="1" applyFont="1" applyBorder="1"/>
    <xf numFmtId="0" fontId="179" fillId="0" borderId="53" xfId="93" applyFont="1" applyBorder="1"/>
    <xf numFmtId="0" fontId="180" fillId="0" borderId="18" xfId="93" applyFont="1" applyBorder="1"/>
    <xf numFmtId="0" fontId="179" fillId="0" borderId="29" xfId="93" applyFont="1" applyBorder="1"/>
    <xf numFmtId="0" fontId="178" fillId="0" borderId="0" xfId="77" applyFont="1"/>
    <xf numFmtId="0" fontId="179" fillId="0" borderId="0" xfId="93" applyFont="1" applyAlignment="1">
      <alignment wrapText="1"/>
    </xf>
    <xf numFmtId="3" fontId="179" fillId="0" borderId="31" xfId="77" applyNumberFormat="1" applyFont="1" applyBorder="1"/>
    <xf numFmtId="0" fontId="179" fillId="0" borderId="0" xfId="77" applyFont="1"/>
    <xf numFmtId="3" fontId="178" fillId="0" borderId="53" xfId="93" applyNumberFormat="1" applyFont="1" applyBorder="1"/>
    <xf numFmtId="3" fontId="178" fillId="0" borderId="86" xfId="93" applyNumberFormat="1" applyFont="1" applyBorder="1"/>
    <xf numFmtId="0" fontId="180" fillId="0" borderId="98" xfId="93" applyFont="1" applyBorder="1"/>
    <xf numFmtId="3" fontId="179" fillId="0" borderId="145" xfId="93" applyNumberFormat="1" applyFont="1" applyBorder="1" applyAlignment="1">
      <alignment horizontal="right"/>
    </xf>
    <xf numFmtId="0" fontId="178" fillId="0" borderId="91" xfId="77" applyFont="1" applyBorder="1"/>
    <xf numFmtId="3" fontId="178" fillId="0" borderId="91" xfId="93" applyNumberFormat="1" applyFont="1" applyBorder="1"/>
    <xf numFmtId="3" fontId="178" fillId="0" borderId="100" xfId="93" applyNumberFormat="1" applyFont="1" applyBorder="1"/>
    <xf numFmtId="0" fontId="178" fillId="0" borderId="19" xfId="93" applyFont="1" applyBorder="1"/>
    <xf numFmtId="3" fontId="178" fillId="0" borderId="99" xfId="93" applyNumberFormat="1" applyFont="1" applyBorder="1" applyAlignment="1">
      <alignment horizontal="right"/>
    </xf>
    <xf numFmtId="0" fontId="178" fillId="0" borderId="16" xfId="93" applyFont="1" applyBorder="1"/>
    <xf numFmtId="3" fontId="178" fillId="0" borderId="16" xfId="93" applyNumberFormat="1" applyFont="1" applyBorder="1"/>
    <xf numFmtId="3" fontId="178" fillId="0" borderId="84" xfId="93" applyNumberFormat="1" applyFont="1" applyBorder="1"/>
    <xf numFmtId="3" fontId="179" fillId="30" borderId="0" xfId="93" applyNumberFormat="1" applyFont="1" applyFill="1"/>
    <xf numFmtId="3" fontId="179" fillId="30" borderId="31" xfId="93" applyNumberFormat="1" applyFont="1" applyFill="1" applyBorder="1" applyAlignment="1">
      <alignment horizontal="right"/>
    </xf>
    <xf numFmtId="0" fontId="181" fillId="0" borderId="0" xfId="93" applyFont="1"/>
    <xf numFmtId="3" fontId="181" fillId="0" borderId="0" xfId="93" applyNumberFormat="1" applyFont="1"/>
    <xf numFmtId="3" fontId="78" fillId="0" borderId="32" xfId="100" applyNumberFormat="1" applyFont="1" applyBorder="1"/>
    <xf numFmtId="3" fontId="78" fillId="0" borderId="55" xfId="100" applyNumberFormat="1" applyFont="1" applyBorder="1"/>
    <xf numFmtId="3" fontId="139" fillId="0" borderId="0" xfId="88" applyNumberFormat="1" applyFont="1"/>
    <xf numFmtId="0" fontId="183" fillId="0" borderId="0" xfId="105" applyFont="1"/>
    <xf numFmtId="0" fontId="185" fillId="0" borderId="0" xfId="105" applyFont="1"/>
    <xf numFmtId="0" fontId="185" fillId="0" borderId="0" xfId="105" applyFont="1" applyAlignment="1">
      <alignment wrapText="1"/>
    </xf>
    <xf numFmtId="3" fontId="183" fillId="0" borderId="0" xfId="105" applyNumberFormat="1" applyFont="1"/>
    <xf numFmtId="0" fontId="185" fillId="0" borderId="0" xfId="106" applyFont="1"/>
    <xf numFmtId="0" fontId="185" fillId="0" borderId="0" xfId="106" applyFont="1" applyAlignment="1">
      <alignment wrapText="1"/>
    </xf>
    <xf numFmtId="3" fontId="183" fillId="0" borderId="0" xfId="106" applyNumberFormat="1" applyFont="1"/>
    <xf numFmtId="0" fontId="187" fillId="0" borderId="117" xfId="106" applyFont="1" applyBorder="1" applyAlignment="1">
      <alignment horizontal="center" wrapText="1"/>
    </xf>
    <xf numFmtId="3" fontId="184" fillId="0" borderId="126" xfId="106" applyNumberFormat="1" applyFont="1" applyBorder="1" applyAlignment="1">
      <alignment horizontal="center" vertical="center" wrapText="1"/>
    </xf>
    <xf numFmtId="0" fontId="188" fillId="0" borderId="0" xfId="106" applyFont="1"/>
    <xf numFmtId="0" fontId="182" fillId="0" borderId="57" xfId="106" applyFont="1" applyBorder="1" applyAlignment="1">
      <alignment wrapText="1"/>
    </xf>
    <xf numFmtId="3" fontId="189" fillId="0" borderId="56" xfId="106" applyNumberFormat="1" applyFont="1" applyBorder="1"/>
    <xf numFmtId="0" fontId="190" fillId="0" borderId="0" xfId="106" applyFont="1"/>
    <xf numFmtId="0" fontId="191" fillId="0" borderId="98" xfId="106" applyFont="1" applyBorder="1" applyAlignment="1">
      <alignment wrapText="1"/>
    </xf>
    <xf numFmtId="3" fontId="192" fillId="0" borderId="140" xfId="106" applyNumberFormat="1" applyFont="1" applyBorder="1"/>
    <xf numFmtId="0" fontId="191" fillId="0" borderId="26" xfId="106" applyFont="1" applyBorder="1" applyAlignment="1">
      <alignment wrapText="1"/>
    </xf>
    <xf numFmtId="3" fontId="192" fillId="0" borderId="58" xfId="106" applyNumberFormat="1" applyFont="1" applyBorder="1"/>
    <xf numFmtId="3" fontId="192" fillId="30" borderId="58" xfId="106" applyNumberFormat="1" applyFont="1" applyFill="1" applyBorder="1"/>
    <xf numFmtId="0" fontId="191" fillId="0" borderId="18" xfId="106" applyFont="1" applyBorder="1" applyAlignment="1">
      <alignment wrapText="1"/>
    </xf>
    <xf numFmtId="0" fontId="182" fillId="32" borderId="150" xfId="106" applyFont="1" applyFill="1" applyBorder="1" applyAlignment="1">
      <alignment wrapText="1"/>
    </xf>
    <xf numFmtId="3" fontId="193" fillId="32" borderId="151" xfId="106" applyNumberFormat="1" applyFont="1" applyFill="1" applyBorder="1"/>
    <xf numFmtId="0" fontId="182" fillId="0" borderId="0" xfId="106" applyFont="1"/>
    <xf numFmtId="0" fontId="182" fillId="0" borderId="18" xfId="106" applyFont="1" applyBorder="1" applyAlignment="1">
      <alignment wrapText="1"/>
    </xf>
    <xf numFmtId="3" fontId="193" fillId="0" borderId="59" xfId="106" applyNumberFormat="1" applyFont="1" applyBorder="1"/>
    <xf numFmtId="0" fontId="194" fillId="0" borderId="18" xfId="106" applyFont="1" applyBorder="1" applyAlignment="1">
      <alignment wrapText="1"/>
    </xf>
    <xf numFmtId="3" fontId="192" fillId="0" borderId="59" xfId="106" applyNumberFormat="1" applyFont="1" applyBorder="1"/>
    <xf numFmtId="0" fontId="195" fillId="0" borderId="98" xfId="106" applyFont="1" applyBorder="1" applyAlignment="1">
      <alignment wrapText="1"/>
    </xf>
    <xf numFmtId="0" fontId="196" fillId="0" borderId="18" xfId="106" applyFont="1" applyBorder="1" applyAlignment="1">
      <alignment wrapText="1"/>
    </xf>
    <xf numFmtId="3" fontId="192" fillId="0" borderId="56" xfId="106" applyNumberFormat="1" applyFont="1" applyBorder="1"/>
    <xf numFmtId="0" fontId="194" fillId="0" borderId="98" xfId="106" applyFont="1" applyBorder="1" applyAlignment="1">
      <alignment wrapText="1"/>
    </xf>
    <xf numFmtId="0" fontId="195" fillId="0" borderId="57" xfId="106" applyFont="1" applyBorder="1" applyAlignment="1">
      <alignment wrapText="1"/>
    </xf>
    <xf numFmtId="0" fontId="197" fillId="0" borderId="18" xfId="106" applyFont="1" applyBorder="1" applyAlignment="1">
      <alignment wrapText="1"/>
    </xf>
    <xf numFmtId="0" fontId="197" fillId="0" borderId="98" xfId="106" applyFont="1" applyBorder="1" applyAlignment="1">
      <alignment wrapText="1"/>
    </xf>
    <xf numFmtId="0" fontId="191" fillId="0" borderId="152" xfId="106" applyFont="1" applyBorder="1" applyAlignment="1">
      <alignment wrapText="1"/>
    </xf>
    <xf numFmtId="3" fontId="192" fillId="0" borderId="153" xfId="106" applyNumberFormat="1" applyFont="1" applyBorder="1"/>
    <xf numFmtId="0" fontId="194" fillId="0" borderId="57" xfId="106" applyFont="1" applyBorder="1" applyAlignment="1">
      <alignment wrapText="1"/>
    </xf>
    <xf numFmtId="3" fontId="198" fillId="0" borderId="56" xfId="106" applyNumberFormat="1" applyFont="1" applyBorder="1"/>
    <xf numFmtId="0" fontId="184" fillId="0" borderId="0" xfId="106" applyFont="1"/>
    <xf numFmtId="3" fontId="192" fillId="32" borderId="151" xfId="106" applyNumberFormat="1" applyFont="1" applyFill="1" applyBorder="1"/>
    <xf numFmtId="0" fontId="199" fillId="0" borderId="0" xfId="106" applyFont="1"/>
    <xf numFmtId="3" fontId="191" fillId="0" borderId="18" xfId="106" applyNumberFormat="1" applyFont="1" applyBorder="1"/>
    <xf numFmtId="3" fontId="192" fillId="30" borderId="140" xfId="106" applyNumberFormat="1" applyFont="1" applyFill="1" applyBorder="1"/>
    <xf numFmtId="0" fontId="191" fillId="30" borderId="26" xfId="106" applyFont="1" applyFill="1" applyBorder="1" applyAlignment="1">
      <alignment wrapText="1"/>
    </xf>
    <xf numFmtId="0" fontId="197" fillId="0" borderId="26" xfId="106" applyFont="1" applyBorder="1" applyAlignment="1">
      <alignment wrapText="1"/>
    </xf>
    <xf numFmtId="0" fontId="200" fillId="0" borderId="26" xfId="106" applyFont="1" applyBorder="1" applyAlignment="1">
      <alignment wrapText="1"/>
    </xf>
    <xf numFmtId="0" fontId="194" fillId="0" borderId="150" xfId="106" applyFont="1" applyBorder="1" applyAlignment="1">
      <alignment wrapText="1"/>
    </xf>
    <xf numFmtId="3" fontId="192" fillId="0" borderId="151" xfId="106" applyNumberFormat="1" applyFont="1" applyBorder="1"/>
    <xf numFmtId="0" fontId="194" fillId="0" borderId="152" xfId="106" applyFont="1" applyBorder="1" applyAlignment="1">
      <alignment wrapText="1"/>
    </xf>
    <xf numFmtId="0" fontId="194" fillId="0" borderId="154" xfId="106" applyFont="1" applyBorder="1" applyAlignment="1">
      <alignment wrapText="1"/>
    </xf>
    <xf numFmtId="3" fontId="192" fillId="0" borderId="155" xfId="106" applyNumberFormat="1" applyFont="1" applyBorder="1"/>
    <xf numFmtId="0" fontId="194" fillId="0" borderId="156" xfId="106" applyFont="1" applyBorder="1" applyAlignment="1">
      <alignment wrapText="1"/>
    </xf>
    <xf numFmtId="0" fontId="188" fillId="0" borderId="18" xfId="106" applyFont="1" applyBorder="1" applyAlignment="1">
      <alignment wrapText="1"/>
    </xf>
    <xf numFmtId="0" fontId="201" fillId="0" borderId="18" xfId="106" applyFont="1" applyBorder="1" applyAlignment="1">
      <alignment wrapText="1"/>
    </xf>
    <xf numFmtId="0" fontId="202" fillId="0" borderId="18" xfId="106" applyFont="1" applyBorder="1" applyAlignment="1">
      <alignment wrapText="1"/>
    </xf>
    <xf numFmtId="0" fontId="202" fillId="0" borderId="26" xfId="106" applyFont="1" applyBorder="1" applyAlignment="1">
      <alignment horizontal="left" wrapText="1"/>
    </xf>
    <xf numFmtId="0" fontId="202" fillId="0" borderId="57" xfId="106" applyFont="1" applyBorder="1" applyAlignment="1">
      <alignment wrapText="1"/>
    </xf>
    <xf numFmtId="0" fontId="188" fillId="32" borderId="150" xfId="106" applyFont="1" applyFill="1" applyBorder="1" applyAlignment="1">
      <alignment wrapText="1"/>
    </xf>
    <xf numFmtId="0" fontId="188" fillId="0" borderId="154" xfId="106" applyFont="1" applyBorder="1" applyAlignment="1">
      <alignment wrapText="1"/>
    </xf>
    <xf numFmtId="0" fontId="190" fillId="0" borderId="98" xfId="106" applyFont="1" applyBorder="1" applyAlignment="1">
      <alignment wrapText="1"/>
    </xf>
    <xf numFmtId="0" fontId="190" fillId="0" borderId="26" xfId="106" applyFont="1" applyBorder="1" applyAlignment="1">
      <alignment wrapText="1"/>
    </xf>
    <xf numFmtId="0" fontId="188" fillId="32" borderId="157" xfId="106" applyFont="1" applyFill="1" applyBorder="1" applyAlignment="1">
      <alignment wrapText="1"/>
    </xf>
    <xf numFmtId="3" fontId="192" fillId="32" borderId="158" xfId="106" applyNumberFormat="1" applyFont="1" applyFill="1" applyBorder="1"/>
    <xf numFmtId="0" fontId="201" fillId="0" borderId="23" xfId="106" applyFont="1" applyBorder="1" applyAlignment="1">
      <alignment horizontal="center" wrapText="1"/>
    </xf>
    <xf numFmtId="3" fontId="198" fillId="0" borderId="27" xfId="106" applyNumberFormat="1" applyFont="1" applyBorder="1" applyAlignment="1">
      <alignment horizontal="center"/>
    </xf>
    <xf numFmtId="0" fontId="203" fillId="30" borderId="98" xfId="104" applyFont="1" applyFill="1" applyBorder="1" applyAlignment="1">
      <alignment horizontal="left" wrapText="1"/>
    </xf>
    <xf numFmtId="3" fontId="198" fillId="0" borderId="140" xfId="106" applyNumberFormat="1" applyFont="1" applyBorder="1" applyAlignment="1">
      <alignment horizontal="right"/>
    </xf>
    <xf numFmtId="0" fontId="203" fillId="30" borderId="98" xfId="104" applyFont="1" applyFill="1" applyBorder="1" applyAlignment="1">
      <alignment horizontal="left"/>
    </xf>
    <xf numFmtId="3" fontId="193" fillId="30" borderId="140" xfId="106" applyNumberFormat="1" applyFont="1" applyFill="1" applyBorder="1"/>
    <xf numFmtId="0" fontId="204" fillId="29" borderId="123" xfId="104" applyFont="1" applyFill="1" applyBorder="1" applyAlignment="1">
      <alignment wrapText="1"/>
    </xf>
    <xf numFmtId="3" fontId="205" fillId="29" borderId="58" xfId="106" applyNumberFormat="1" applyFont="1" applyFill="1" applyBorder="1"/>
    <xf numFmtId="3" fontId="193" fillId="30" borderId="59" xfId="106" applyNumberFormat="1" applyFont="1" applyFill="1" applyBorder="1"/>
    <xf numFmtId="3" fontId="193" fillId="30" borderId="58" xfId="106" applyNumberFormat="1" applyFont="1" applyFill="1" applyBorder="1"/>
    <xf numFmtId="0" fontId="203" fillId="30" borderId="123" xfId="104" applyFont="1" applyFill="1" applyBorder="1" applyAlignment="1">
      <alignment horizontal="left"/>
    </xf>
    <xf numFmtId="0" fontId="203" fillId="30" borderId="18" xfId="104" applyFont="1" applyFill="1" applyBorder="1"/>
    <xf numFmtId="3" fontId="193" fillId="30" borderId="88" xfId="106" applyNumberFormat="1" applyFont="1" applyFill="1" applyBorder="1"/>
    <xf numFmtId="0" fontId="204" fillId="29" borderId="144" xfId="104" applyFont="1" applyFill="1" applyBorder="1" applyAlignment="1">
      <alignment wrapText="1"/>
    </xf>
    <xf numFmtId="3" fontId="205" fillId="29" borderId="88" xfId="106" applyNumberFormat="1" applyFont="1" applyFill="1" applyBorder="1"/>
    <xf numFmtId="0" fontId="206" fillId="0" borderId="0" xfId="106" applyFont="1"/>
    <xf numFmtId="3" fontId="193" fillId="0" borderId="88" xfId="106" applyNumberFormat="1" applyFont="1" applyBorder="1"/>
    <xf numFmtId="3" fontId="205" fillId="29" borderId="49" xfId="106" applyNumberFormat="1" applyFont="1" applyFill="1" applyBorder="1"/>
    <xf numFmtId="3" fontId="205" fillId="29" borderId="78" xfId="106" applyNumberFormat="1" applyFont="1" applyFill="1" applyBorder="1"/>
    <xf numFmtId="0" fontId="182" fillId="32" borderId="26" xfId="106" applyFont="1" applyFill="1" applyBorder="1" applyAlignment="1">
      <alignment wrapText="1"/>
    </xf>
    <xf numFmtId="3" fontId="193" fillId="32" borderId="58" xfId="106" applyNumberFormat="1" applyFont="1" applyFill="1" applyBorder="1"/>
    <xf numFmtId="3" fontId="193" fillId="32" borderId="78" xfId="106" applyNumberFormat="1" applyFont="1" applyFill="1" applyBorder="1"/>
    <xf numFmtId="3" fontId="182" fillId="32" borderId="152" xfId="106" applyNumberFormat="1" applyFont="1" applyFill="1" applyBorder="1" applyAlignment="1">
      <alignment wrapText="1"/>
    </xf>
    <xf numFmtId="3" fontId="193" fillId="32" borderId="159" xfId="106" applyNumberFormat="1" applyFont="1" applyFill="1" applyBorder="1"/>
    <xf numFmtId="3" fontId="193" fillId="32" borderId="160" xfId="106" applyNumberFormat="1" applyFont="1" applyFill="1" applyBorder="1"/>
    <xf numFmtId="3" fontId="182" fillId="0" borderId="18" xfId="106" applyNumberFormat="1" applyFont="1" applyBorder="1" applyAlignment="1">
      <alignment wrapText="1"/>
    </xf>
    <xf numFmtId="3" fontId="193" fillId="0" borderId="155" xfId="106" applyNumberFormat="1" applyFont="1" applyBorder="1"/>
    <xf numFmtId="0" fontId="207" fillId="0" borderId="18" xfId="104" applyFont="1" applyBorder="1"/>
    <xf numFmtId="0" fontId="203" fillId="0" borderId="98" xfId="104" applyFont="1" applyBorder="1"/>
    <xf numFmtId="3" fontId="193" fillId="0" borderId="140" xfId="106" applyNumberFormat="1" applyFont="1" applyBorder="1"/>
    <xf numFmtId="0" fontId="203" fillId="0" borderId="26" xfId="104" applyFont="1" applyBorder="1"/>
    <xf numFmtId="3" fontId="193" fillId="0" borderId="58" xfId="106" applyNumberFormat="1" applyFont="1" applyBorder="1"/>
    <xf numFmtId="3" fontId="186" fillId="0" borderId="0" xfId="106" applyNumberFormat="1" applyFont="1"/>
    <xf numFmtId="0" fontId="193" fillId="0" borderId="0" xfId="104" applyFont="1"/>
    <xf numFmtId="3" fontId="71" fillId="0" borderId="43" xfId="98" applyNumberFormat="1" applyFont="1" applyBorder="1"/>
    <xf numFmtId="165" fontId="71" fillId="0" borderId="43" xfId="98" applyNumberFormat="1" applyFont="1" applyBorder="1"/>
    <xf numFmtId="3" fontId="72" fillId="0" borderId="21" xfId="98" applyNumberFormat="1" applyFont="1" applyBorder="1"/>
    <xf numFmtId="2" fontId="72" fillId="0" borderId="21" xfId="98" applyNumberFormat="1" applyFont="1" applyBorder="1"/>
    <xf numFmtId="3" fontId="91" fillId="0" borderId="69" xfId="88" applyNumberFormat="1" applyFont="1" applyBorder="1"/>
    <xf numFmtId="3" fontId="83" fillId="0" borderId="127" xfId="0" applyNumberFormat="1" applyFont="1" applyBorder="1"/>
    <xf numFmtId="2" fontId="83" fillId="0" borderId="130" xfId="0" applyNumberFormat="1" applyFont="1" applyBorder="1"/>
    <xf numFmtId="4" fontId="90" fillId="0" borderId="60" xfId="94" applyNumberFormat="1" applyFont="1" applyBorder="1"/>
    <xf numFmtId="3" fontId="79" fillId="0" borderId="122" xfId="0" applyNumberFormat="1" applyFont="1" applyBorder="1"/>
    <xf numFmtId="0" fontId="86" fillId="31" borderId="103" xfId="0" applyFont="1" applyFill="1" applyBorder="1"/>
    <xf numFmtId="4" fontId="80" fillId="0" borderId="77" xfId="0" applyNumberFormat="1" applyFont="1" applyBorder="1"/>
    <xf numFmtId="2" fontId="80" fillId="0" borderId="28" xfId="0" applyNumberFormat="1" applyFont="1" applyBorder="1"/>
    <xf numFmtId="2" fontId="80" fillId="0" borderId="27" xfId="0" applyNumberFormat="1" applyFont="1" applyBorder="1"/>
    <xf numFmtId="3" fontId="80" fillId="33" borderId="36" xfId="0" applyNumberFormat="1" applyFont="1" applyFill="1" applyBorder="1"/>
    <xf numFmtId="3" fontId="80" fillId="33" borderId="34" xfId="0" applyNumberFormat="1" applyFont="1" applyFill="1" applyBorder="1"/>
    <xf numFmtId="4" fontId="80" fillId="33" borderId="68" xfId="0" applyNumberFormat="1" applyFont="1" applyFill="1" applyBorder="1"/>
    <xf numFmtId="3" fontId="79" fillId="33" borderId="15" xfId="0" applyNumberFormat="1" applyFont="1" applyFill="1" applyBorder="1"/>
    <xf numFmtId="3" fontId="79" fillId="33" borderId="29" xfId="0" applyNumberFormat="1" applyFont="1" applyFill="1" applyBorder="1"/>
    <xf numFmtId="4" fontId="79" fillId="33" borderId="68" xfId="0" applyNumberFormat="1" applyFont="1" applyFill="1" applyBorder="1"/>
    <xf numFmtId="3" fontId="79" fillId="33" borderId="36" xfId="0" applyNumberFormat="1" applyFont="1" applyFill="1" applyBorder="1"/>
    <xf numFmtId="3" fontId="79" fillId="33" borderId="34" xfId="0" applyNumberFormat="1" applyFont="1" applyFill="1" applyBorder="1"/>
    <xf numFmtId="3" fontId="79" fillId="33" borderId="68" xfId="0" applyNumberFormat="1" applyFont="1" applyFill="1" applyBorder="1"/>
    <xf numFmtId="3" fontId="79" fillId="33" borderId="116" xfId="0" applyNumberFormat="1" applyFont="1" applyFill="1" applyBorder="1"/>
    <xf numFmtId="3" fontId="79" fillId="33" borderId="114" xfId="0" applyNumberFormat="1" applyFont="1" applyFill="1" applyBorder="1"/>
    <xf numFmtId="2" fontId="79" fillId="33" borderId="102" xfId="0" applyNumberFormat="1" applyFont="1" applyFill="1" applyBorder="1"/>
    <xf numFmtId="2" fontId="79" fillId="33" borderId="71" xfId="0" applyNumberFormat="1" applyFont="1" applyFill="1" applyBorder="1"/>
    <xf numFmtId="2" fontId="79" fillId="33" borderId="67" xfId="0" applyNumberFormat="1" applyFont="1" applyFill="1" applyBorder="1"/>
    <xf numFmtId="3" fontId="79" fillId="33" borderId="51" xfId="0" applyNumberFormat="1" applyFont="1" applyFill="1" applyBorder="1"/>
    <xf numFmtId="3" fontId="79" fillId="33" borderId="52" xfId="0" applyNumberFormat="1" applyFont="1" applyFill="1" applyBorder="1"/>
    <xf numFmtId="3" fontId="79" fillId="33" borderId="45" xfId="0" applyNumberFormat="1" applyFont="1" applyFill="1" applyBorder="1" applyAlignment="1">
      <alignment horizontal="right"/>
    </xf>
    <xf numFmtId="4" fontId="79" fillId="33" borderId="27" xfId="0" applyNumberFormat="1" applyFont="1" applyFill="1" applyBorder="1" applyAlignment="1">
      <alignment horizontal="right"/>
    </xf>
    <xf numFmtId="3" fontId="79" fillId="33" borderId="101" xfId="0" applyNumberFormat="1" applyFont="1" applyFill="1" applyBorder="1"/>
    <xf numFmtId="3" fontId="79" fillId="33" borderId="64" xfId="0" applyNumberFormat="1" applyFont="1" applyFill="1" applyBorder="1"/>
    <xf numFmtId="4" fontId="79" fillId="33" borderId="108" xfId="0" applyNumberFormat="1" applyFont="1" applyFill="1" applyBorder="1" applyAlignment="1">
      <alignment horizontal="right"/>
    </xf>
    <xf numFmtId="3" fontId="80" fillId="33" borderId="45" xfId="0" applyNumberFormat="1" applyFont="1" applyFill="1" applyBorder="1"/>
    <xf numFmtId="3" fontId="80" fillId="33" borderId="15" xfId="0" applyNumberFormat="1" applyFont="1" applyFill="1" applyBorder="1"/>
    <xf numFmtId="4" fontId="80" fillId="33" borderId="59" xfId="0" applyNumberFormat="1" applyFont="1" applyFill="1" applyBorder="1"/>
    <xf numFmtId="4" fontId="79" fillId="33" borderId="102" xfId="0" applyNumberFormat="1" applyFont="1" applyFill="1" applyBorder="1"/>
    <xf numFmtId="3" fontId="80" fillId="33" borderId="43" xfId="0" applyNumberFormat="1" applyFont="1" applyFill="1" applyBorder="1"/>
    <xf numFmtId="4" fontId="80" fillId="33" borderId="54" xfId="0" applyNumberFormat="1" applyFont="1" applyFill="1" applyBorder="1"/>
    <xf numFmtId="4" fontId="79" fillId="33" borderId="67" xfId="0" applyNumberFormat="1" applyFont="1" applyFill="1" applyBorder="1"/>
    <xf numFmtId="4" fontId="79" fillId="33" borderId="108" xfId="0" applyNumberFormat="1" applyFont="1" applyFill="1" applyBorder="1"/>
    <xf numFmtId="3" fontId="83" fillId="33" borderId="51" xfId="0" applyNumberFormat="1" applyFont="1" applyFill="1" applyBorder="1"/>
    <xf numFmtId="4" fontId="83" fillId="33" borderId="67" xfId="0" applyNumberFormat="1" applyFont="1" applyFill="1" applyBorder="1"/>
    <xf numFmtId="3" fontId="83" fillId="33" borderId="15" xfId="0" applyNumberFormat="1" applyFont="1" applyFill="1" applyBorder="1"/>
    <xf numFmtId="3" fontId="83" fillId="33" borderId="36" xfId="0" applyNumberFormat="1" applyFont="1" applyFill="1" applyBorder="1"/>
    <xf numFmtId="4" fontId="83" fillId="33" borderId="68" xfId="0" applyNumberFormat="1" applyFont="1" applyFill="1" applyBorder="1"/>
    <xf numFmtId="3" fontId="79" fillId="33" borderId="65" xfId="0" applyNumberFormat="1" applyFont="1" applyFill="1" applyBorder="1" applyProtection="1">
      <protection locked="0"/>
    </xf>
    <xf numFmtId="2" fontId="79" fillId="33" borderId="68" xfId="0" applyNumberFormat="1" applyFont="1" applyFill="1" applyBorder="1"/>
    <xf numFmtId="3" fontId="79" fillId="33" borderId="116" xfId="0" applyNumberFormat="1" applyFont="1" applyFill="1" applyBorder="1" applyProtection="1">
      <protection locked="0"/>
    </xf>
    <xf numFmtId="3" fontId="79" fillId="33" borderId="29" xfId="0" applyNumberFormat="1" applyFont="1" applyFill="1" applyBorder="1" applyProtection="1">
      <protection locked="0"/>
    </xf>
    <xf numFmtId="3" fontId="79" fillId="33" borderId="34" xfId="0" applyNumberFormat="1" applyFont="1" applyFill="1" applyBorder="1" applyProtection="1">
      <protection locked="0"/>
    </xf>
    <xf numFmtId="3" fontId="79" fillId="33" borderId="65" xfId="0" applyNumberFormat="1" applyFont="1" applyFill="1" applyBorder="1"/>
    <xf numFmtId="0" fontId="86" fillId="33" borderId="103" xfId="0" applyFont="1" applyFill="1" applyBorder="1"/>
    <xf numFmtId="3" fontId="80" fillId="33" borderId="127" xfId="0" applyNumberFormat="1" applyFont="1" applyFill="1" applyBorder="1"/>
    <xf numFmtId="3" fontId="80" fillId="33" borderId="132" xfId="0" applyNumberFormat="1" applyFont="1" applyFill="1" applyBorder="1"/>
    <xf numFmtId="2" fontId="80" fillId="33" borderId="130" xfId="0" applyNumberFormat="1" applyFont="1" applyFill="1" applyBorder="1"/>
    <xf numFmtId="0" fontId="86" fillId="33" borderId="20" xfId="0" applyFont="1" applyFill="1" applyBorder="1"/>
    <xf numFmtId="0" fontId="86" fillId="33" borderId="77" xfId="0" applyFont="1" applyFill="1" applyBorder="1"/>
    <xf numFmtId="3" fontId="80" fillId="33" borderId="77" xfId="0" applyNumberFormat="1" applyFont="1" applyFill="1" applyBorder="1"/>
    <xf numFmtId="4" fontId="80" fillId="33" borderId="77" xfId="0" applyNumberFormat="1" applyFont="1" applyFill="1" applyBorder="1"/>
    <xf numFmtId="3" fontId="80" fillId="33" borderId="52" xfId="0" applyNumberFormat="1" applyFont="1" applyFill="1" applyBorder="1"/>
    <xf numFmtId="4" fontId="80" fillId="33" borderId="71" xfId="0" applyNumberFormat="1" applyFont="1" applyFill="1" applyBorder="1"/>
    <xf numFmtId="0" fontId="80" fillId="0" borderId="23" xfId="77" applyFont="1" applyBorder="1" applyAlignment="1">
      <alignment horizontal="center"/>
    </xf>
    <xf numFmtId="0" fontId="80" fillId="0" borderId="45" xfId="0" applyFont="1" applyBorder="1" applyAlignment="1">
      <alignment horizontal="center"/>
    </xf>
    <xf numFmtId="0" fontId="79" fillId="0" borderId="19" xfId="77" applyFont="1" applyBorder="1" applyAlignment="1">
      <alignment horizontal="center"/>
    </xf>
    <xf numFmtId="0" fontId="85" fillId="0" borderId="0" xfId="77" applyFont="1"/>
    <xf numFmtId="0" fontId="79" fillId="0" borderId="94" xfId="77" applyFont="1" applyBorder="1" applyAlignment="1">
      <alignment horizontal="center"/>
    </xf>
    <xf numFmtId="0" fontId="208" fillId="0" borderId="103" xfId="77" applyFont="1" applyBorder="1" applyAlignment="1">
      <alignment horizontal="center"/>
    </xf>
    <xf numFmtId="0" fontId="208" fillId="0" borderId="117" xfId="77" applyFont="1" applyBorder="1" applyAlignment="1">
      <alignment horizontal="center"/>
    </xf>
    <xf numFmtId="0" fontId="86" fillId="0" borderId="23" xfId="0" applyFont="1" applyBorder="1" applyAlignment="1">
      <alignment horizontal="center"/>
    </xf>
    <xf numFmtId="0" fontId="86" fillId="0" borderId="45" xfId="0" applyFont="1" applyBorder="1" applyAlignment="1">
      <alignment horizontal="center"/>
    </xf>
    <xf numFmtId="0" fontId="86" fillId="0" borderId="46" xfId="0" applyFont="1" applyBorder="1" applyAlignment="1">
      <alignment horizontal="center"/>
    </xf>
    <xf numFmtId="0" fontId="86" fillId="0" borderId="53" xfId="77" applyFont="1" applyBorder="1" applyAlignment="1">
      <alignment horizontal="center"/>
    </xf>
    <xf numFmtId="0" fontId="85" fillId="0" borderId="19" xfId="77" applyFont="1" applyBorder="1"/>
    <xf numFmtId="0" fontId="85" fillId="0" borderId="16" xfId="77" applyFont="1" applyBorder="1" applyAlignment="1">
      <alignment horizontal="center"/>
    </xf>
    <xf numFmtId="0" fontId="86" fillId="0" borderId="19" xfId="0" applyFont="1" applyBorder="1" applyAlignment="1">
      <alignment horizontal="center"/>
    </xf>
    <xf numFmtId="0" fontId="86" fillId="0" borderId="61" xfId="0" applyFont="1" applyBorder="1" applyAlignment="1">
      <alignment horizontal="center"/>
    </xf>
    <xf numFmtId="0" fontId="86" fillId="0" borderId="16" xfId="0" applyFont="1" applyBorder="1" applyAlignment="1">
      <alignment horizontal="center"/>
    </xf>
    <xf numFmtId="0" fontId="86" fillId="0" borderId="84" xfId="0" applyFont="1" applyBorder="1" applyAlignment="1">
      <alignment horizontal="center"/>
    </xf>
    <xf numFmtId="0" fontId="86" fillId="0" borderId="23" xfId="77" applyFont="1" applyBorder="1" applyAlignment="1">
      <alignment horizontal="right"/>
    </xf>
    <xf numFmtId="0" fontId="86" fillId="0" borderId="46" xfId="77" applyFont="1" applyBorder="1"/>
    <xf numFmtId="3" fontId="85" fillId="0" borderId="23" xfId="77" applyNumberFormat="1" applyFont="1" applyBorder="1" applyAlignment="1">
      <alignment horizontal="center"/>
    </xf>
    <xf numFmtId="3" fontId="85" fillId="0" borderId="47" xfId="77" applyNumberFormat="1" applyFont="1" applyBorder="1" applyAlignment="1">
      <alignment horizontal="center"/>
    </xf>
    <xf numFmtId="3" fontId="85" fillId="0" borderId="45" xfId="77" applyNumberFormat="1" applyFont="1" applyBorder="1" applyAlignment="1">
      <alignment horizontal="center"/>
    </xf>
    <xf numFmtId="3" fontId="85" fillId="0" borderId="47" xfId="77" applyNumberFormat="1" applyFont="1" applyBorder="1" applyAlignment="1">
      <alignment horizontal="right"/>
    </xf>
    <xf numFmtId="3" fontId="85" fillId="0" borderId="27" xfId="77" applyNumberFormat="1" applyFont="1" applyBorder="1" applyAlignment="1">
      <alignment horizontal="right"/>
    </xf>
    <xf numFmtId="0" fontId="85" fillId="0" borderId="18" xfId="77" applyFont="1" applyBorder="1" applyAlignment="1">
      <alignment horizontal="right"/>
    </xf>
    <xf numFmtId="0" fontId="85" fillId="0" borderId="50" xfId="77" applyFont="1" applyBorder="1"/>
    <xf numFmtId="3" fontId="85" fillId="0" borderId="144" xfId="77" applyNumberFormat="1" applyFont="1" applyBorder="1" applyAlignment="1">
      <alignment horizontal="right"/>
    </xf>
    <xf numFmtId="3" fontId="85" fillId="0" borderId="29" xfId="77" applyNumberFormat="1" applyFont="1" applyBorder="1" applyAlignment="1">
      <alignment horizontal="right"/>
    </xf>
    <xf numFmtId="3" fontId="85" fillId="0" borderId="15" xfId="77" applyNumberFormat="1" applyFont="1" applyBorder="1" applyAlignment="1">
      <alignment horizontal="right"/>
    </xf>
    <xf numFmtId="3" fontId="85" fillId="0" borderId="59" xfId="77" applyNumberFormat="1" applyFont="1" applyBorder="1" applyAlignment="1">
      <alignment horizontal="right"/>
    </xf>
    <xf numFmtId="0" fontId="86" fillId="0" borderId="17" xfId="77" applyFont="1" applyBorder="1" applyAlignment="1">
      <alignment horizontal="right"/>
    </xf>
    <xf numFmtId="0" fontId="86" fillId="0" borderId="22" xfId="77" applyFont="1" applyBorder="1" applyAlignment="1">
      <alignment horizontal="left"/>
    </xf>
    <xf numFmtId="3" fontId="86" fillId="0" borderId="17" xfId="77" applyNumberFormat="1" applyFont="1" applyBorder="1" applyAlignment="1">
      <alignment horizontal="right"/>
    </xf>
    <xf numFmtId="3" fontId="86" fillId="0" borderId="44" xfId="77" applyNumberFormat="1" applyFont="1" applyBorder="1" applyAlignment="1">
      <alignment horizontal="right"/>
    </xf>
    <xf numFmtId="3" fontId="86" fillId="0" borderId="43" xfId="77" applyNumberFormat="1" applyFont="1" applyBorder="1" applyAlignment="1">
      <alignment horizontal="right"/>
    </xf>
    <xf numFmtId="3" fontId="86" fillId="0" borderId="54" xfId="77" applyNumberFormat="1" applyFont="1" applyBorder="1" applyAlignment="1">
      <alignment horizontal="right"/>
    </xf>
    <xf numFmtId="0" fontId="209" fillId="0" borderId="0" xfId="77" applyFont="1"/>
    <xf numFmtId="3" fontId="85" fillId="0" borderId="0" xfId="77" applyNumberFormat="1" applyFont="1"/>
    <xf numFmtId="3" fontId="210" fillId="0" borderId="0" xfId="77" applyNumberFormat="1" applyFont="1"/>
    <xf numFmtId="3" fontId="153" fillId="0" borderId="16" xfId="0" applyNumberFormat="1" applyFont="1" applyBorder="1"/>
    <xf numFmtId="3" fontId="152" fillId="0" borderId="16" xfId="0" applyNumberFormat="1" applyFont="1" applyBorder="1" applyAlignment="1">
      <alignment horizontal="center"/>
    </xf>
    <xf numFmtId="0" fontId="86" fillId="0" borderId="23" xfId="0" applyFont="1" applyBorder="1"/>
    <xf numFmtId="0" fontId="86" fillId="0" borderId="46" xfId="0" applyFont="1" applyBorder="1" applyAlignment="1">
      <alignment horizontal="left"/>
    </xf>
    <xf numFmtId="0" fontId="86" fillId="0" borderId="53" xfId="0" applyFont="1" applyBorder="1" applyAlignment="1">
      <alignment horizontal="left"/>
    </xf>
    <xf numFmtId="0" fontId="88" fillId="0" borderId="18" xfId="0" applyFont="1" applyBorder="1"/>
    <xf numFmtId="0" fontId="88" fillId="0" borderId="50" xfId="0" applyFont="1" applyBorder="1"/>
    <xf numFmtId="3" fontId="88" fillId="0" borderId="85" xfId="0" applyNumberFormat="1" applyFont="1" applyBorder="1" applyProtection="1">
      <protection locked="0"/>
    </xf>
    <xf numFmtId="0" fontId="88" fillId="0" borderId="24" xfId="0" applyFont="1" applyBorder="1"/>
    <xf numFmtId="3" fontId="88" fillId="0" borderId="88" xfId="0" applyNumberFormat="1" applyFont="1" applyBorder="1" applyProtection="1">
      <protection locked="0"/>
    </xf>
    <xf numFmtId="0" fontId="88" fillId="0" borderId="0" xfId="0" applyFont="1"/>
    <xf numFmtId="0" fontId="211" fillId="0" borderId="0" xfId="0" applyFont="1"/>
    <xf numFmtId="0" fontId="85" fillId="0" borderId="50" xfId="0" applyFont="1" applyBorder="1"/>
    <xf numFmtId="0" fontId="85" fillId="0" borderId="37" xfId="0" applyFont="1" applyBorder="1"/>
    <xf numFmtId="3" fontId="85" fillId="0" borderId="79" xfId="0" applyNumberFormat="1" applyFont="1" applyBorder="1" applyProtection="1">
      <protection locked="0"/>
    </xf>
    <xf numFmtId="0" fontId="85" fillId="0" borderId="24" xfId="0" applyFont="1" applyBorder="1"/>
    <xf numFmtId="0" fontId="211" fillId="0" borderId="24" xfId="0" applyFont="1" applyBorder="1"/>
    <xf numFmtId="0" fontId="85" fillId="0" borderId="24" xfId="0" applyFont="1" applyBorder="1" applyAlignment="1">
      <alignment wrapText="1"/>
    </xf>
    <xf numFmtId="3" fontId="88" fillId="0" borderId="85" xfId="0" applyNumberFormat="1" applyFont="1" applyBorder="1"/>
    <xf numFmtId="3" fontId="85" fillId="0" borderId="50" xfId="0" applyNumberFormat="1" applyFont="1" applyBorder="1"/>
    <xf numFmtId="0" fontId="85" fillId="0" borderId="37" xfId="0" applyFont="1" applyBorder="1" applyAlignment="1">
      <alignment horizontal="left"/>
    </xf>
    <xf numFmtId="0" fontId="85" fillId="0" borderId="50" xfId="0" applyFont="1" applyBorder="1" applyAlignment="1">
      <alignment horizontal="left"/>
    </xf>
    <xf numFmtId="0" fontId="85" fillId="0" borderId="85" xfId="0" applyFont="1" applyBorder="1" applyAlignment="1">
      <alignment horizontal="left"/>
    </xf>
    <xf numFmtId="3" fontId="86" fillId="0" borderId="24" xfId="0" applyNumberFormat="1" applyFont="1" applyBorder="1"/>
    <xf numFmtId="0" fontId="86" fillId="0" borderId="24" xfId="0" applyFont="1" applyBorder="1"/>
    <xf numFmtId="3" fontId="86" fillId="0" borderId="88" xfId="0" applyNumberFormat="1" applyFont="1" applyBorder="1" applyProtection="1">
      <protection locked="0"/>
    </xf>
    <xf numFmtId="3" fontId="86" fillId="0" borderId="0" xfId="0" applyNumberFormat="1" applyFont="1"/>
    <xf numFmtId="0" fontId="86" fillId="0" borderId="0" xfId="0" applyFont="1"/>
    <xf numFmtId="3" fontId="86" fillId="0" borderId="86" xfId="0" applyNumberFormat="1" applyFont="1" applyBorder="1" applyProtection="1">
      <protection locked="0"/>
    </xf>
    <xf numFmtId="0" fontId="85" fillId="0" borderId="0" xfId="0" applyFont="1" applyAlignment="1">
      <alignment horizontal="left"/>
    </xf>
    <xf numFmtId="0" fontId="85" fillId="0" borderId="86" xfId="0" applyFont="1" applyBorder="1" applyAlignment="1">
      <alignment horizontal="left"/>
    </xf>
    <xf numFmtId="0" fontId="88" fillId="0" borderId="104" xfId="0" applyFont="1" applyBorder="1"/>
    <xf numFmtId="3" fontId="88" fillId="0" borderId="129" xfId="0" applyNumberFormat="1" applyFont="1" applyBorder="1" applyProtection="1">
      <protection locked="0"/>
    </xf>
    <xf numFmtId="0" fontId="86" fillId="0" borderId="50" xfId="0" applyFont="1" applyBorder="1"/>
    <xf numFmtId="0" fontId="86" fillId="0" borderId="50" xfId="0" applyFont="1" applyBorder="1" applyAlignment="1">
      <alignment horizontal="left"/>
    </xf>
    <xf numFmtId="0" fontId="86" fillId="0" borderId="85" xfId="0" applyFont="1" applyBorder="1" applyAlignment="1">
      <alignment horizontal="left"/>
    </xf>
    <xf numFmtId="0" fontId="85" fillId="0" borderId="66" xfId="0" applyFont="1" applyBorder="1" applyAlignment="1">
      <alignment horizontal="left"/>
    </xf>
    <xf numFmtId="0" fontId="85" fillId="0" borderId="74" xfId="0" applyFont="1" applyBorder="1" applyAlignment="1">
      <alignment horizontal="left"/>
    </xf>
    <xf numFmtId="0" fontId="88" fillId="0" borderId="22" xfId="0" applyFont="1" applyBorder="1"/>
    <xf numFmtId="0" fontId="86" fillId="0" borderId="22" xfId="0" applyFont="1" applyBorder="1" applyAlignment="1">
      <alignment horizontal="left"/>
    </xf>
    <xf numFmtId="0" fontId="86" fillId="0" borderId="80" xfId="0" applyFont="1" applyBorder="1" applyAlignment="1">
      <alignment horizontal="left"/>
    </xf>
    <xf numFmtId="0" fontId="86" fillId="0" borderId="93" xfId="0" applyFont="1" applyBorder="1" applyAlignment="1">
      <alignment horizontal="left"/>
    </xf>
    <xf numFmtId="0" fontId="86" fillId="0" borderId="81" xfId="0" applyFont="1" applyBorder="1" applyAlignment="1">
      <alignment horizontal="left"/>
    </xf>
    <xf numFmtId="0" fontId="211" fillId="0" borderId="16" xfId="0" applyFont="1" applyBorder="1" applyAlignment="1">
      <alignment horizontal="left"/>
    </xf>
    <xf numFmtId="0" fontId="85" fillId="0" borderId="16" xfId="0" applyFont="1" applyBorder="1" applyAlignment="1">
      <alignment horizontal="left"/>
    </xf>
    <xf numFmtId="0" fontId="85" fillId="0" borderId="84" xfId="0" applyFont="1" applyBorder="1" applyAlignment="1">
      <alignment horizontal="left"/>
    </xf>
    <xf numFmtId="0" fontId="88" fillId="0" borderId="16" xfId="0" applyFont="1" applyBorder="1" applyAlignment="1">
      <alignment horizontal="left"/>
    </xf>
    <xf numFmtId="3" fontId="210" fillId="0" borderId="50" xfId="0" applyNumberFormat="1" applyFont="1" applyBorder="1"/>
    <xf numFmtId="0" fontId="210" fillId="0" borderId="50" xfId="77" applyFont="1" applyBorder="1" applyAlignment="1">
      <alignment horizontal="justify"/>
    </xf>
    <xf numFmtId="0" fontId="210" fillId="0" borderId="79" xfId="0" applyFont="1" applyBorder="1"/>
    <xf numFmtId="0" fontId="210" fillId="0" borderId="37" xfId="77" applyFont="1" applyBorder="1" applyAlignment="1">
      <alignment horizontal="justify"/>
    </xf>
    <xf numFmtId="0" fontId="85" fillId="0" borderId="95" xfId="0" applyFont="1" applyBorder="1" applyAlignment="1">
      <alignment horizontal="left" wrapText="1"/>
    </xf>
    <xf numFmtId="0" fontId="85" fillId="0" borderId="135" xfId="0" applyFont="1" applyBorder="1" applyAlignment="1">
      <alignment horizontal="left" wrapText="1"/>
    </xf>
    <xf numFmtId="0" fontId="86" fillId="0" borderId="20" xfId="0" applyFont="1" applyBorder="1"/>
    <xf numFmtId="0" fontId="88" fillId="0" borderId="93" xfId="0" applyFont="1" applyBorder="1" applyAlignment="1">
      <alignment horizontal="left"/>
    </xf>
    <xf numFmtId="0" fontId="86" fillId="0" borderId="18" xfId="0" applyFont="1" applyBorder="1" applyAlignment="1">
      <alignment horizontal="center"/>
    </xf>
    <xf numFmtId="0" fontId="86" fillId="0" borderId="0" xfId="0" applyFont="1" applyAlignment="1">
      <alignment horizontal="center"/>
    </xf>
    <xf numFmtId="0" fontId="86" fillId="0" borderId="86" xfId="0" applyFont="1" applyBorder="1" applyAlignment="1">
      <alignment horizontal="left"/>
    </xf>
    <xf numFmtId="0" fontId="85" fillId="0" borderId="37" xfId="77" applyFont="1" applyBorder="1" applyAlignment="1">
      <alignment horizontal="left"/>
    </xf>
    <xf numFmtId="0" fontId="85" fillId="0" borderId="37" xfId="77" applyFont="1" applyBorder="1" applyAlignment="1">
      <alignment horizontal="justify"/>
    </xf>
    <xf numFmtId="0" fontId="85" fillId="0" borderId="79" xfId="0" applyFont="1" applyBorder="1"/>
    <xf numFmtId="0" fontId="86" fillId="0" borderId="19" xfId="0" applyFont="1" applyBorder="1"/>
    <xf numFmtId="0" fontId="88" fillId="0" borderId="0" xfId="0" applyFont="1" applyAlignment="1">
      <alignment horizontal="left"/>
    </xf>
    <xf numFmtId="0" fontId="85" fillId="0" borderId="66" xfId="77" applyFont="1" applyBorder="1" applyAlignment="1">
      <alignment horizontal="left"/>
    </xf>
    <xf numFmtId="0" fontId="85" fillId="0" borderId="66" xfId="77" applyFont="1" applyBorder="1" applyAlignment="1">
      <alignment horizontal="justify"/>
    </xf>
    <xf numFmtId="0" fontId="85" fillId="0" borderId="74" xfId="0" applyFont="1" applyBorder="1"/>
    <xf numFmtId="0" fontId="85" fillId="0" borderId="0" xfId="77" applyFont="1" applyAlignment="1">
      <alignment horizontal="left"/>
    </xf>
    <xf numFmtId="0" fontId="85" fillId="0" borderId="24" xfId="77" applyFont="1" applyBorder="1" applyAlignment="1">
      <alignment horizontal="left"/>
    </xf>
    <xf numFmtId="0" fontId="86" fillId="0" borderId="37" xfId="0" applyFont="1" applyBorder="1" applyAlignment="1">
      <alignment horizontal="center"/>
    </xf>
    <xf numFmtId="0" fontId="86" fillId="0" borderId="79" xfId="0" applyFont="1" applyBorder="1" applyAlignment="1">
      <alignment horizontal="left"/>
    </xf>
    <xf numFmtId="0" fontId="86" fillId="0" borderId="17" xfId="0" applyFont="1" applyBorder="1"/>
    <xf numFmtId="0" fontId="86" fillId="0" borderId="0" xfId="0" applyFont="1" applyAlignment="1">
      <alignment horizontal="left"/>
    </xf>
    <xf numFmtId="3" fontId="85" fillId="0" borderId="73" xfId="0" applyNumberFormat="1" applyFont="1" applyBorder="1" applyProtection="1">
      <protection locked="0"/>
    </xf>
    <xf numFmtId="0" fontId="85" fillId="0" borderId="50" xfId="77" applyFont="1" applyBorder="1" applyAlignment="1">
      <alignment horizontal="left"/>
    </xf>
    <xf numFmtId="0" fontId="86" fillId="0" borderId="22" xfId="0" applyFont="1" applyBorder="1" applyAlignment="1">
      <alignment horizontal="center"/>
    </xf>
    <xf numFmtId="0" fontId="85" fillId="0" borderId="46" xfId="0" applyFont="1" applyBorder="1"/>
    <xf numFmtId="0" fontId="85" fillId="0" borderId="53" xfId="0" applyFont="1" applyBorder="1"/>
    <xf numFmtId="0" fontId="88" fillId="0" borderId="18" xfId="0" applyFont="1" applyBorder="1" applyAlignment="1">
      <alignment horizontal="left"/>
    </xf>
    <xf numFmtId="0" fontId="88" fillId="0" borderId="37" xfId="0" applyFont="1" applyBorder="1" applyAlignment="1">
      <alignment horizontal="left"/>
    </xf>
    <xf numFmtId="3" fontId="86" fillId="0" borderId="37" xfId="0" applyNumberFormat="1" applyFont="1" applyBorder="1"/>
    <xf numFmtId="0" fontId="86" fillId="0" borderId="37" xfId="0" applyFont="1" applyBorder="1"/>
    <xf numFmtId="0" fontId="88" fillId="0" borderId="22" xfId="0" applyFont="1" applyBorder="1" applyAlignment="1">
      <alignment horizontal="left"/>
    </xf>
    <xf numFmtId="0" fontId="85" fillId="0" borderId="23" xfId="77" applyFont="1" applyBorder="1"/>
    <xf numFmtId="0" fontId="86" fillId="0" borderId="18" xfId="77" applyFont="1" applyBorder="1"/>
    <xf numFmtId="0" fontId="85" fillId="0" borderId="0" xfId="77" applyFont="1" applyAlignment="1">
      <alignment horizontal="center"/>
    </xf>
    <xf numFmtId="0" fontId="212" fillId="0" borderId="37" xfId="77" applyFont="1" applyBorder="1" applyAlignment="1">
      <alignment horizontal="left" wrapText="1"/>
    </xf>
    <xf numFmtId="0" fontId="88" fillId="0" borderId="18" xfId="77" applyFont="1" applyBorder="1"/>
    <xf numFmtId="0" fontId="88" fillId="0" borderId="24" xfId="77" applyFont="1" applyBorder="1" applyAlignment="1">
      <alignment horizontal="left"/>
    </xf>
    <xf numFmtId="0" fontId="88" fillId="0" borderId="111" xfId="77" applyFont="1" applyBorder="1" applyAlignment="1">
      <alignment horizontal="left"/>
    </xf>
    <xf numFmtId="3" fontId="85" fillId="0" borderId="18" xfId="77" applyNumberFormat="1" applyFont="1" applyBorder="1"/>
    <xf numFmtId="0" fontId="86" fillId="0" borderId="95" xfId="77" applyFont="1" applyBorder="1" applyAlignment="1">
      <alignment horizontal="justify"/>
    </xf>
    <xf numFmtId="3" fontId="88" fillId="0" borderId="18" xfId="77" applyNumberFormat="1" applyFont="1" applyBorder="1"/>
    <xf numFmtId="0" fontId="85" fillId="0" borderId="85" xfId="77" applyFont="1" applyBorder="1" applyAlignment="1">
      <alignment horizontal="left" wrapText="1"/>
    </xf>
    <xf numFmtId="0" fontId="85" fillId="0" borderId="50" xfId="77" applyFont="1" applyBorder="1" applyAlignment="1">
      <alignment horizontal="left" wrapText="1"/>
    </xf>
    <xf numFmtId="0" fontId="88" fillId="0" borderId="91" xfId="77" applyFont="1" applyBorder="1" applyAlignment="1">
      <alignment horizontal="left"/>
    </xf>
    <xf numFmtId="0" fontId="86" fillId="0" borderId="26" xfId="77" applyFont="1" applyBorder="1" applyAlignment="1">
      <alignment horizontal="left"/>
    </xf>
    <xf numFmtId="0" fontId="86" fillId="0" borderId="88" xfId="77" applyFont="1" applyBorder="1" applyAlignment="1">
      <alignment horizontal="left"/>
    </xf>
    <xf numFmtId="0" fontId="85" fillId="0" borderId="133" xfId="77" applyFont="1" applyBorder="1" applyAlignment="1">
      <alignment horizontal="center"/>
    </xf>
    <xf numFmtId="0" fontId="86" fillId="0" borderId="20" xfId="77" applyFont="1" applyBorder="1"/>
    <xf numFmtId="0" fontId="85" fillId="0" borderId="93" xfId="77" applyFont="1" applyBorder="1" applyAlignment="1">
      <alignment horizontal="center"/>
    </xf>
    <xf numFmtId="0" fontId="86" fillId="0" borderId="18" xfId="77" applyFont="1" applyBorder="1" applyAlignment="1">
      <alignment horizontal="left"/>
    </xf>
    <xf numFmtId="0" fontId="86" fillId="0" borderId="50" xfId="77" applyFont="1" applyBorder="1" applyAlignment="1">
      <alignment horizontal="justify"/>
    </xf>
    <xf numFmtId="0" fontId="86" fillId="0" borderId="37" xfId="77" applyFont="1" applyBorder="1" applyAlignment="1">
      <alignment horizontal="justify"/>
    </xf>
    <xf numFmtId="0" fontId="86" fillId="0" borderId="86" xfId="77" applyFont="1" applyBorder="1" applyAlignment="1">
      <alignment horizontal="left"/>
    </xf>
    <xf numFmtId="0" fontId="80" fillId="0" borderId="46" xfId="77" applyFont="1" applyBorder="1" applyAlignment="1">
      <alignment horizontal="center"/>
    </xf>
    <xf numFmtId="0" fontId="80" fillId="0" borderId="23" xfId="0" applyFont="1" applyBorder="1" applyAlignment="1">
      <alignment horizontal="center"/>
    </xf>
    <xf numFmtId="3" fontId="88" fillId="0" borderId="16" xfId="0" applyNumberFormat="1" applyFont="1" applyBorder="1" applyAlignment="1">
      <alignment horizontal="left"/>
    </xf>
    <xf numFmtId="0" fontId="85" fillId="33" borderId="96" xfId="0" applyFont="1" applyFill="1" applyBorder="1" applyAlignment="1">
      <alignment horizontal="left"/>
    </xf>
    <xf numFmtId="0" fontId="85" fillId="0" borderId="105" xfId="0" applyFont="1" applyBorder="1" applyAlignment="1">
      <alignment horizontal="left" wrapText="1"/>
    </xf>
    <xf numFmtId="0" fontId="85" fillId="0" borderId="38" xfId="0" applyFont="1" applyBorder="1" applyAlignment="1">
      <alignment horizontal="left" wrapText="1"/>
    </xf>
    <xf numFmtId="0" fontId="85" fillId="33" borderId="40" xfId="0" applyFont="1" applyFill="1" applyBorder="1" applyAlignment="1">
      <alignment wrapText="1"/>
    </xf>
    <xf numFmtId="0" fontId="85" fillId="0" borderId="42" xfId="0" applyFont="1" applyBorder="1" applyAlignment="1">
      <alignment horizontal="left"/>
    </xf>
    <xf numFmtId="0" fontId="85" fillId="0" borderId="42" xfId="0" applyFont="1" applyBorder="1" applyAlignment="1">
      <alignment horizontal="left" wrapText="1"/>
    </xf>
    <xf numFmtId="0" fontId="85" fillId="0" borderId="40" xfId="0" applyFont="1" applyBorder="1" applyAlignment="1">
      <alignment horizontal="left" wrapText="1"/>
    </xf>
    <xf numFmtId="0" fontId="85" fillId="0" borderId="18" xfId="0" applyFont="1" applyBorder="1" applyAlignment="1">
      <alignment horizontal="left" wrapText="1"/>
    </xf>
    <xf numFmtId="0" fontId="86" fillId="0" borderId="17" xfId="0" applyFont="1" applyBorder="1" applyAlignment="1">
      <alignment wrapText="1"/>
    </xf>
    <xf numFmtId="0" fontId="85" fillId="33" borderId="107" xfId="0" applyFont="1" applyFill="1" applyBorder="1"/>
    <xf numFmtId="0" fontId="85" fillId="33" borderId="40" xfId="0" applyFont="1" applyFill="1" applyBorder="1"/>
    <xf numFmtId="0" fontId="88" fillId="0" borderId="18" xfId="0" applyFont="1" applyBorder="1" applyAlignment="1">
      <alignment horizontal="center"/>
    </xf>
    <xf numFmtId="0" fontId="88" fillId="0" borderId="20" xfId="0" applyFont="1" applyBorder="1"/>
    <xf numFmtId="0" fontId="85" fillId="0" borderId="38" xfId="0" applyFont="1" applyBorder="1"/>
    <xf numFmtId="0" fontId="85" fillId="0" borderId="20" xfId="0" applyFont="1" applyBorder="1"/>
    <xf numFmtId="0" fontId="86" fillId="0" borderId="20" xfId="0" applyFont="1" applyBorder="1" applyAlignment="1">
      <alignment horizontal="left" wrapText="1"/>
    </xf>
    <xf numFmtId="3" fontId="85" fillId="0" borderId="38" xfId="0" applyNumberFormat="1" applyFont="1" applyBorder="1" applyAlignment="1">
      <alignment horizontal="justify"/>
    </xf>
    <xf numFmtId="3" fontId="85" fillId="0" borderId="40" xfId="78" applyNumberFormat="1" applyFont="1" applyBorder="1" applyAlignment="1">
      <alignment horizontal="justify" wrapText="1"/>
    </xf>
    <xf numFmtId="0" fontId="85" fillId="0" borderId="41" xfId="0" applyFont="1" applyBorder="1"/>
    <xf numFmtId="0" fontId="88" fillId="0" borderId="19" xfId="0" applyFont="1" applyBorder="1"/>
    <xf numFmtId="0" fontId="88" fillId="0" borderId="19" xfId="0" applyFont="1" applyBorder="1" applyAlignment="1">
      <alignment horizontal="center"/>
    </xf>
    <xf numFmtId="0" fontId="86" fillId="0" borderId="20" xfId="0" applyFont="1" applyBorder="1" applyAlignment="1">
      <alignment wrapText="1"/>
    </xf>
    <xf numFmtId="0" fontId="88" fillId="0" borderId="20" xfId="0" applyFont="1" applyBorder="1" applyAlignment="1">
      <alignment horizontal="center"/>
    </xf>
    <xf numFmtId="0" fontId="88" fillId="0" borderId="57" xfId="0" applyFont="1" applyBorder="1" applyAlignment="1">
      <alignment horizontal="center"/>
    </xf>
    <xf numFmtId="0" fontId="85" fillId="0" borderId="57" xfId="0" applyFont="1" applyBorder="1" applyAlignment="1">
      <alignment horizontal="left"/>
    </xf>
    <xf numFmtId="3" fontId="85" fillId="0" borderId="40" xfId="0" applyNumberFormat="1" applyFont="1" applyBorder="1" applyAlignment="1">
      <alignment horizontal="justify"/>
    </xf>
    <xf numFmtId="0" fontId="85" fillId="0" borderId="18" xfId="0" applyFont="1" applyBorder="1" applyAlignment="1">
      <alignment horizontal="left"/>
    </xf>
    <xf numFmtId="0" fontId="88" fillId="0" borderId="90" xfId="0" applyFont="1" applyBorder="1" applyAlignment="1">
      <alignment horizontal="left"/>
    </xf>
    <xf numFmtId="0" fontId="86" fillId="0" borderId="57" xfId="0" applyFont="1" applyBorder="1" applyAlignment="1">
      <alignment horizontal="center"/>
    </xf>
    <xf numFmtId="0" fontId="88" fillId="0" borderId="18" xfId="0" applyFont="1" applyBorder="1" applyAlignment="1">
      <alignment horizontal="center" wrapText="1"/>
    </xf>
    <xf numFmtId="3" fontId="85" fillId="0" borderId="18" xfId="0" applyNumberFormat="1" applyFont="1" applyBorder="1" applyAlignment="1">
      <alignment horizontal="justify"/>
    </xf>
    <xf numFmtId="0" fontId="88" fillId="0" borderId="17" xfId="0" applyFont="1" applyBorder="1" applyAlignment="1">
      <alignment wrapText="1"/>
    </xf>
    <xf numFmtId="3" fontId="85" fillId="0" borderId="38" xfId="78" applyNumberFormat="1" applyFont="1" applyBorder="1" applyAlignment="1">
      <alignment horizontal="justify" wrapText="1"/>
    </xf>
    <xf numFmtId="3" fontId="85" fillId="0" borderId="41" xfId="0" applyNumberFormat="1" applyFont="1" applyBorder="1" applyAlignment="1">
      <alignment horizontal="justify"/>
    </xf>
    <xf numFmtId="0" fontId="88" fillId="0" borderId="17" xfId="0" applyFont="1" applyBorder="1"/>
    <xf numFmtId="3" fontId="86" fillId="0" borderId="30" xfId="0" applyNumberFormat="1" applyFont="1" applyBorder="1" applyAlignment="1">
      <alignment horizontal="center"/>
    </xf>
    <xf numFmtId="0" fontId="85" fillId="33" borderId="40" xfId="0" applyFont="1" applyFill="1" applyBorder="1" applyAlignment="1">
      <alignment horizontal="justify"/>
    </xf>
    <xf numFmtId="3" fontId="85" fillId="0" borderId="105" xfId="0" applyNumberFormat="1" applyFont="1" applyBorder="1" applyAlignment="1">
      <alignment horizontal="left" wrapText="1"/>
    </xf>
    <xf numFmtId="0" fontId="85" fillId="0" borderId="40" xfId="0" applyFont="1" applyBorder="1" applyAlignment="1">
      <alignment wrapText="1"/>
    </xf>
    <xf numFmtId="0" fontId="85" fillId="0" borderId="40" xfId="0" applyFont="1" applyBorder="1" applyAlignment="1">
      <alignment horizontal="justify" wrapText="1"/>
    </xf>
    <xf numFmtId="0" fontId="85" fillId="0" borderId="18" xfId="0" applyFont="1" applyBorder="1" applyAlignment="1">
      <alignment horizontal="justify"/>
    </xf>
    <xf numFmtId="3" fontId="80" fillId="0" borderId="25" xfId="0" applyNumberFormat="1" applyFont="1" applyBorder="1" applyAlignment="1">
      <alignment horizontal="center"/>
    </xf>
    <xf numFmtId="3" fontId="80" fillId="0" borderId="23" xfId="0" applyNumberFormat="1" applyFont="1" applyBorder="1" applyAlignment="1">
      <alignment horizontal="center"/>
    </xf>
    <xf numFmtId="3" fontId="86" fillId="33" borderId="18" xfId="0" applyNumberFormat="1" applyFont="1" applyFill="1" applyBorder="1" applyAlignment="1">
      <alignment wrapText="1"/>
    </xf>
    <xf numFmtId="3" fontId="85" fillId="33" borderId="107" xfId="0" applyNumberFormat="1" applyFont="1" applyFill="1" applyBorder="1" applyAlignment="1">
      <alignment wrapText="1"/>
    </xf>
    <xf numFmtId="0" fontId="86" fillId="0" borderId="17" xfId="0" applyFont="1" applyBorder="1" applyAlignment="1">
      <alignment horizontal="left"/>
    </xf>
    <xf numFmtId="0" fontId="86" fillId="0" borderId="19" xfId="0" applyFont="1" applyBorder="1" applyAlignment="1">
      <alignment horizontal="left"/>
    </xf>
    <xf numFmtId="0" fontId="85" fillId="0" borderId="19" xfId="0" applyFont="1" applyBorder="1" applyAlignment="1">
      <alignment horizontal="center"/>
    </xf>
    <xf numFmtId="3" fontId="86" fillId="33" borderId="62" xfId="0" applyNumberFormat="1" applyFont="1" applyFill="1" applyBorder="1" applyAlignment="1">
      <alignment wrapText="1"/>
    </xf>
    <xf numFmtId="0" fontId="85" fillId="0" borderId="107" xfId="0" applyFont="1" applyBorder="1"/>
    <xf numFmtId="0" fontId="86" fillId="33" borderId="17" xfId="0" applyFont="1" applyFill="1" applyBorder="1"/>
    <xf numFmtId="0" fontId="213" fillId="0" borderId="23" xfId="0" applyFont="1" applyBorder="1" applyAlignment="1">
      <alignment horizontal="left"/>
    </xf>
    <xf numFmtId="0" fontId="85" fillId="33" borderId="38" xfId="0" applyFont="1" applyFill="1" applyBorder="1"/>
    <xf numFmtId="3" fontId="85" fillId="33" borderId="40" xfId="0" applyNumberFormat="1" applyFont="1" applyFill="1" applyBorder="1" applyAlignment="1">
      <alignment wrapText="1"/>
    </xf>
    <xf numFmtId="0" fontId="86" fillId="0" borderId="26" xfId="0" applyFont="1" applyBorder="1" applyAlignment="1">
      <alignment horizontal="left"/>
    </xf>
    <xf numFmtId="0" fontId="213" fillId="0" borderId="18" xfId="0" applyFont="1" applyBorder="1" applyAlignment="1">
      <alignment horizontal="left"/>
    </xf>
    <xf numFmtId="3" fontId="85" fillId="33" borderId="38" xfId="0" applyNumberFormat="1" applyFont="1" applyFill="1" applyBorder="1" applyAlignment="1">
      <alignment wrapText="1"/>
    </xf>
    <xf numFmtId="3" fontId="85" fillId="33" borderId="18" xfId="0" applyNumberFormat="1" applyFont="1" applyFill="1" applyBorder="1" applyAlignment="1">
      <alignment wrapText="1"/>
    </xf>
    <xf numFmtId="3" fontId="85" fillId="0" borderId="40" xfId="0" applyNumberFormat="1" applyFont="1" applyBorder="1" applyAlignment="1">
      <alignment wrapText="1"/>
    </xf>
    <xf numFmtId="3" fontId="85" fillId="0" borderId="38" xfId="0" applyNumberFormat="1" applyFont="1" applyBorder="1" applyAlignment="1">
      <alignment wrapText="1"/>
    </xf>
    <xf numFmtId="0" fontId="85" fillId="0" borderId="62" xfId="0" applyFont="1" applyBorder="1" applyAlignment="1">
      <alignment horizontal="left" wrapText="1"/>
    </xf>
    <xf numFmtId="49" fontId="85" fillId="0" borderId="62" xfId="0" applyNumberFormat="1" applyFont="1" applyBorder="1" applyAlignment="1">
      <alignment horizontal="justify" wrapText="1"/>
    </xf>
    <xf numFmtId="0" fontId="213" fillId="0" borderId="62" xfId="0" applyFont="1" applyBorder="1" applyAlignment="1">
      <alignment horizontal="justify" wrapText="1"/>
    </xf>
    <xf numFmtId="0" fontId="85" fillId="0" borderId="62" xfId="0" applyFont="1" applyBorder="1" applyAlignment="1">
      <alignment horizontal="justify" wrapText="1"/>
    </xf>
    <xf numFmtId="0" fontId="213" fillId="0" borderId="40" xfId="0" applyFont="1" applyBorder="1" applyAlignment="1">
      <alignment horizontal="justify" wrapText="1"/>
    </xf>
    <xf numFmtId="0" fontId="85" fillId="0" borderId="42" xfId="0" applyFont="1" applyBorder="1" applyAlignment="1">
      <alignment wrapText="1"/>
    </xf>
    <xf numFmtId="0" fontId="85" fillId="0" borderId="136" xfId="77" applyFont="1" applyBorder="1" applyAlignment="1">
      <alignment horizontal="left" wrapText="1"/>
    </xf>
    <xf numFmtId="0" fontId="213" fillId="0" borderId="38" xfId="0" applyFont="1" applyBorder="1" applyAlignment="1">
      <alignment horizontal="justify" wrapText="1"/>
    </xf>
    <xf numFmtId="3" fontId="85" fillId="33" borderId="42" xfId="0" applyNumberFormat="1" applyFont="1" applyFill="1" applyBorder="1" applyAlignment="1" applyProtection="1">
      <alignment wrapText="1"/>
      <protection locked="0"/>
    </xf>
    <xf numFmtId="0" fontId="85" fillId="0" borderId="62" xfId="0" applyFont="1" applyBorder="1" applyAlignment="1">
      <alignment wrapText="1"/>
    </xf>
    <xf numFmtId="0" fontId="86" fillId="0" borderId="57" xfId="0" applyFont="1" applyBorder="1" applyAlignment="1">
      <alignment horizontal="left"/>
    </xf>
    <xf numFmtId="0" fontId="85" fillId="0" borderId="38" xfId="0" applyFont="1" applyBorder="1" applyAlignment="1">
      <alignment horizontal="justify" wrapText="1"/>
    </xf>
    <xf numFmtId="0" fontId="85" fillId="0" borderId="40" xfId="0" applyFont="1" applyBorder="1" applyAlignment="1">
      <alignment horizontal="left" wrapText="1" shrinkToFit="1"/>
    </xf>
    <xf numFmtId="0" fontId="86" fillId="0" borderId="136" xfId="0" applyFont="1" applyBorder="1" applyAlignment="1">
      <alignment horizontal="left"/>
    </xf>
    <xf numFmtId="0" fontId="86" fillId="0" borderId="20" xfId="0" applyFont="1" applyBorder="1" applyAlignment="1">
      <alignment horizontal="left"/>
    </xf>
    <xf numFmtId="0" fontId="86" fillId="0" borderId="19" xfId="0" applyFont="1" applyBorder="1" applyAlignment="1">
      <alignment horizontal="left" wrapText="1"/>
    </xf>
    <xf numFmtId="0" fontId="85" fillId="0" borderId="23" xfId="0" applyFont="1" applyBorder="1"/>
    <xf numFmtId="0" fontId="85" fillId="0" borderId="17" xfId="0" applyFont="1" applyBorder="1"/>
    <xf numFmtId="0" fontId="85" fillId="33" borderId="50" xfId="0" applyFont="1" applyFill="1" applyBorder="1"/>
    <xf numFmtId="0" fontId="85" fillId="33" borderId="122" xfId="0" applyFont="1" applyFill="1" applyBorder="1"/>
    <xf numFmtId="0" fontId="85" fillId="33" borderId="37" xfId="0" applyFont="1" applyFill="1" applyBorder="1"/>
    <xf numFmtId="0" fontId="85" fillId="33" borderId="39" xfId="0" applyFont="1" applyFill="1" applyBorder="1"/>
    <xf numFmtId="0" fontId="85" fillId="30" borderId="37" xfId="0" applyFont="1" applyFill="1" applyBorder="1"/>
    <xf numFmtId="0" fontId="85" fillId="30" borderId="39" xfId="0" applyFont="1" applyFill="1" applyBorder="1"/>
    <xf numFmtId="0" fontId="85" fillId="33" borderId="62" xfId="0" applyFont="1" applyFill="1" applyBorder="1"/>
    <xf numFmtId="0" fontId="85" fillId="33" borderId="66" xfId="0" applyFont="1" applyFill="1" applyBorder="1"/>
    <xf numFmtId="0" fontId="85" fillId="33" borderId="92" xfId="0" applyFont="1" applyFill="1" applyBorder="1"/>
    <xf numFmtId="0" fontId="85" fillId="30" borderId="66" xfId="0" applyFont="1" applyFill="1" applyBorder="1"/>
    <xf numFmtId="0" fontId="85" fillId="30" borderId="92" xfId="0" applyFont="1" applyFill="1" applyBorder="1"/>
    <xf numFmtId="0" fontId="85" fillId="0" borderId="115" xfId="0" applyFont="1" applyBorder="1"/>
    <xf numFmtId="0" fontId="85" fillId="0" borderId="19" xfId="0" applyFont="1" applyBorder="1"/>
    <xf numFmtId="0" fontId="85" fillId="0" borderId="128" xfId="0" applyFont="1" applyBorder="1"/>
    <xf numFmtId="3" fontId="80" fillId="0" borderId="23" xfId="0" applyNumberFormat="1" applyFont="1" applyBorder="1" applyAlignment="1">
      <alignment horizontal="centerContinuous"/>
    </xf>
    <xf numFmtId="0" fontId="85" fillId="33" borderId="42" xfId="0" applyFont="1" applyFill="1" applyBorder="1" applyAlignment="1">
      <alignment horizontal="left"/>
    </xf>
    <xf numFmtId="0" fontId="85" fillId="33" borderId="42" xfId="0" applyFont="1" applyFill="1" applyBorder="1" applyAlignment="1">
      <alignment horizontal="left" wrapText="1"/>
    </xf>
    <xf numFmtId="0" fontId="85" fillId="33" borderId="97" xfId="0" applyFont="1" applyFill="1" applyBorder="1"/>
    <xf numFmtId="0" fontId="85" fillId="33" borderId="62" xfId="0" applyFont="1" applyFill="1" applyBorder="1" applyAlignment="1">
      <alignment wrapText="1"/>
    </xf>
    <xf numFmtId="0" fontId="85" fillId="33" borderId="40" xfId="0" applyFont="1" applyFill="1" applyBorder="1" applyAlignment="1">
      <alignment horizontal="left" wrapText="1"/>
    </xf>
    <xf numFmtId="0" fontId="88" fillId="0" borderId="20" xfId="0" applyFont="1" applyBorder="1" applyAlignment="1">
      <alignment horizontal="left"/>
    </xf>
    <xf numFmtId="0" fontId="85" fillId="0" borderId="50" xfId="77" applyFont="1" applyBorder="1" applyAlignment="1">
      <alignment horizontal="justify"/>
    </xf>
    <xf numFmtId="0" fontId="86" fillId="0" borderId="26" xfId="77" applyFont="1" applyBorder="1" applyAlignment="1">
      <alignment horizontal="right"/>
    </xf>
    <xf numFmtId="0" fontId="86" fillId="0" borderId="24" xfId="77" applyFont="1" applyBorder="1" applyAlignment="1">
      <alignment horizontal="center"/>
    </xf>
    <xf numFmtId="0" fontId="86" fillId="0" borderId="57" xfId="77" applyFont="1" applyBorder="1" applyAlignment="1">
      <alignment horizontal="right"/>
    </xf>
    <xf numFmtId="0" fontId="86" fillId="0" borderId="104" xfId="77" applyFont="1" applyBorder="1"/>
    <xf numFmtId="0" fontId="86" fillId="0" borderId="18" xfId="77" applyFont="1" applyBorder="1" applyAlignment="1">
      <alignment horizontal="right"/>
    </xf>
    <xf numFmtId="0" fontId="86" fillId="0" borderId="0" xfId="77" applyFont="1"/>
    <xf numFmtId="0" fontId="86" fillId="0" borderId="24" xfId="77" applyFont="1" applyBorder="1"/>
    <xf numFmtId="0" fontId="88" fillId="0" borderId="18" xfId="77" applyFont="1" applyBorder="1" applyAlignment="1">
      <alignment horizontal="left"/>
    </xf>
    <xf numFmtId="0" fontId="88" fillId="0" borderId="0" xfId="77" applyFont="1"/>
    <xf numFmtId="0" fontId="85" fillId="0" borderId="37" xfId="77" applyFont="1" applyBorder="1"/>
    <xf numFmtId="0" fontId="88" fillId="0" borderId="39" xfId="77" applyFont="1" applyBorder="1"/>
    <xf numFmtId="0" fontId="210" fillId="0" borderId="18" xfId="77" applyFont="1" applyBorder="1" applyAlignment="1">
      <alignment horizontal="right"/>
    </xf>
    <xf numFmtId="0" fontId="85" fillId="0" borderId="50" xfId="77" applyFont="1" applyBorder="1" applyAlignment="1">
      <alignment wrapText="1"/>
    </xf>
    <xf numFmtId="0" fontId="85" fillId="0" borderId="66" xfId="77" applyFont="1" applyBorder="1"/>
    <xf numFmtId="0" fontId="85" fillId="0" borderId="39" xfId="0" applyFont="1" applyBorder="1" applyAlignment="1">
      <alignment wrapText="1"/>
    </xf>
    <xf numFmtId="0" fontId="86" fillId="0" borderId="22" xfId="77" applyFont="1" applyBorder="1"/>
    <xf numFmtId="0" fontId="85" fillId="0" borderId="20" xfId="77" applyFont="1" applyBorder="1" applyAlignment="1">
      <alignment horizontal="right"/>
    </xf>
    <xf numFmtId="0" fontId="86" fillId="0" borderId="93" xfId="77" applyFont="1" applyBorder="1"/>
    <xf numFmtId="3" fontId="215" fillId="0" borderId="19" xfId="96" applyNumberFormat="1" applyFont="1" applyBorder="1" applyAlignment="1">
      <alignment horizontal="center"/>
    </xf>
    <xf numFmtId="3" fontId="215" fillId="0" borderId="16" xfId="96" applyNumberFormat="1" applyFont="1" applyBorder="1"/>
    <xf numFmtId="3" fontId="216" fillId="0" borderId="61" xfId="96" applyNumberFormat="1" applyFont="1" applyBorder="1" applyAlignment="1">
      <alignment horizontal="center"/>
    </xf>
    <xf numFmtId="3" fontId="216" fillId="0" borderId="28" xfId="96" applyNumberFormat="1" applyFont="1" applyBorder="1" applyAlignment="1">
      <alignment horizontal="center"/>
    </xf>
    <xf numFmtId="3" fontId="216" fillId="0" borderId="20" xfId="96" applyNumberFormat="1" applyFont="1" applyBorder="1" applyAlignment="1">
      <alignment horizontal="center"/>
    </xf>
    <xf numFmtId="3" fontId="216" fillId="0" borderId="93" xfId="96" applyNumberFormat="1" applyFont="1" applyBorder="1"/>
    <xf numFmtId="3" fontId="216" fillId="30" borderId="21" xfId="96" applyNumberFormat="1" applyFont="1" applyFill="1" applyBorder="1"/>
    <xf numFmtId="3" fontId="216" fillId="30" borderId="60" xfId="96" applyNumberFormat="1" applyFont="1" applyFill="1" applyBorder="1"/>
    <xf numFmtId="3" fontId="216" fillId="0" borderId="18" xfId="96" applyNumberFormat="1" applyFont="1" applyBorder="1" applyAlignment="1">
      <alignment horizontal="center"/>
    </xf>
    <xf numFmtId="3" fontId="216" fillId="0" borderId="0" xfId="96" applyNumberFormat="1" applyFont="1"/>
    <xf numFmtId="3" fontId="216" fillId="30" borderId="15" xfId="96" applyNumberFormat="1" applyFont="1" applyFill="1" applyBorder="1"/>
    <xf numFmtId="3" fontId="216" fillId="30" borderId="59" xfId="96" applyNumberFormat="1" applyFont="1" applyFill="1" applyBorder="1"/>
    <xf numFmtId="3" fontId="214" fillId="0" borderId="40" xfId="96" applyNumberFormat="1" applyFont="1" applyBorder="1" applyAlignment="1">
      <alignment horizontal="center"/>
    </xf>
    <xf numFmtId="3" fontId="214" fillId="0" borderId="37" xfId="96" applyNumberFormat="1" applyFont="1" applyBorder="1"/>
    <xf numFmtId="3" fontId="214" fillId="30" borderId="36" xfId="96" applyNumberFormat="1" applyFont="1" applyFill="1" applyBorder="1"/>
    <xf numFmtId="3" fontId="214" fillId="30" borderId="37" xfId="96" applyNumberFormat="1" applyFont="1" applyFill="1" applyBorder="1"/>
    <xf numFmtId="3" fontId="214" fillId="30" borderId="68" xfId="96" applyNumberFormat="1" applyFont="1" applyFill="1" applyBorder="1"/>
    <xf numFmtId="3" fontId="214" fillId="0" borderId="18" xfId="96" applyNumberFormat="1" applyFont="1" applyBorder="1" applyAlignment="1">
      <alignment horizontal="center"/>
    </xf>
    <xf numFmtId="3" fontId="214" fillId="0" borderId="0" xfId="96" applyNumberFormat="1" applyFont="1"/>
    <xf numFmtId="3" fontId="214" fillId="30" borderId="15" xfId="96" applyNumberFormat="1" applyFont="1" applyFill="1" applyBorder="1"/>
    <xf numFmtId="3" fontId="214" fillId="30" borderId="0" xfId="96" applyNumberFormat="1" applyFont="1" applyFill="1"/>
    <xf numFmtId="3" fontId="216" fillId="0" borderId="40" xfId="96" applyNumberFormat="1" applyFont="1" applyBorder="1" applyAlignment="1">
      <alignment horizontal="center"/>
    </xf>
    <xf numFmtId="3" fontId="216" fillId="0" borderId="37" xfId="96" applyNumberFormat="1" applyFont="1" applyBorder="1"/>
    <xf numFmtId="3" fontId="216" fillId="30" borderId="36" xfId="96" applyNumberFormat="1" applyFont="1" applyFill="1" applyBorder="1"/>
    <xf numFmtId="3" fontId="216" fillId="30" borderId="68" xfId="96" applyNumberFormat="1" applyFont="1" applyFill="1" applyBorder="1"/>
    <xf numFmtId="3" fontId="214" fillId="30" borderId="59" xfId="96" applyNumberFormat="1" applyFont="1" applyFill="1" applyBorder="1"/>
    <xf numFmtId="3" fontId="216" fillId="0" borderId="21" xfId="96" applyNumberFormat="1" applyFont="1" applyBorder="1"/>
    <xf numFmtId="3" fontId="216" fillId="0" borderId="81" xfId="96" applyNumberFormat="1" applyFont="1" applyBorder="1"/>
    <xf numFmtId="3" fontId="216" fillId="0" borderId="15" xfId="96" applyNumberFormat="1" applyFont="1" applyBorder="1"/>
    <xf numFmtId="3" fontId="216" fillId="0" borderId="59" xfId="96" applyNumberFormat="1" applyFont="1" applyBorder="1"/>
    <xf numFmtId="3" fontId="215" fillId="0" borderId="37" xfId="96" applyNumberFormat="1" applyFont="1" applyBorder="1"/>
    <xf numFmtId="3" fontId="215" fillId="30" borderId="36" xfId="96" applyNumberFormat="1" applyFont="1" applyFill="1" applyBorder="1"/>
    <xf numFmtId="3" fontId="215" fillId="30" borderId="68" xfId="96" applyNumberFormat="1" applyFont="1" applyFill="1" applyBorder="1"/>
    <xf numFmtId="3" fontId="214" fillId="0" borderId="0" xfId="96" applyNumberFormat="1" applyFont="1" applyAlignment="1">
      <alignment horizontal="center"/>
    </xf>
    <xf numFmtId="3" fontId="214" fillId="30" borderId="71" xfId="96" applyNumberFormat="1" applyFont="1" applyFill="1" applyBorder="1"/>
    <xf numFmtId="3" fontId="214" fillId="0" borderId="37" xfId="96" applyNumberFormat="1" applyFont="1" applyBorder="1" applyAlignment="1">
      <alignment horizontal="center"/>
    </xf>
    <xf numFmtId="3" fontId="214" fillId="0" borderId="0" xfId="96" applyNumberFormat="1" applyFont="1" applyAlignment="1">
      <alignment horizontal="center" vertical="center"/>
    </xf>
    <xf numFmtId="3" fontId="214" fillId="0" borderId="0" xfId="96" applyNumberFormat="1" applyFont="1" applyAlignment="1">
      <alignment wrapText="1"/>
    </xf>
    <xf numFmtId="3" fontId="214" fillId="30" borderId="67" xfId="96" applyNumberFormat="1" applyFont="1" applyFill="1" applyBorder="1"/>
    <xf numFmtId="3" fontId="216" fillId="30" borderId="37" xfId="96" applyNumberFormat="1" applyFont="1" applyFill="1" applyBorder="1"/>
    <xf numFmtId="3" fontId="217" fillId="30" borderId="37" xfId="96" applyNumberFormat="1" applyFont="1" applyFill="1" applyBorder="1"/>
    <xf numFmtId="3" fontId="214" fillId="30" borderId="0" xfId="96" applyNumberFormat="1" applyFont="1" applyFill="1" applyAlignment="1">
      <alignment wrapText="1"/>
    </xf>
    <xf numFmtId="3" fontId="214" fillId="0" borderId="41" xfId="96" applyNumberFormat="1" applyFont="1" applyBorder="1" applyAlignment="1">
      <alignment horizontal="center"/>
    </xf>
    <xf numFmtId="3" fontId="214" fillId="0" borderId="95" xfId="96" applyNumberFormat="1" applyFont="1" applyBorder="1"/>
    <xf numFmtId="3" fontId="214" fillId="30" borderId="64" xfId="96" applyNumberFormat="1" applyFont="1" applyFill="1" applyBorder="1"/>
    <xf numFmtId="3" fontId="214" fillId="30" borderId="95" xfId="96" applyNumberFormat="1" applyFont="1" applyFill="1" applyBorder="1"/>
    <xf numFmtId="3" fontId="216" fillId="0" borderId="110" xfId="96" applyNumberFormat="1" applyFont="1" applyBorder="1" applyAlignment="1">
      <alignment horizontal="center"/>
    </xf>
    <xf numFmtId="3" fontId="216" fillId="0" borderId="111" xfId="96" applyNumberFormat="1" applyFont="1" applyBorder="1"/>
    <xf numFmtId="3" fontId="216" fillId="30" borderId="147" xfId="96" applyNumberFormat="1" applyFont="1" applyFill="1" applyBorder="1"/>
    <xf numFmtId="3" fontId="216" fillId="30" borderId="112" xfId="96" applyNumberFormat="1" applyFont="1" applyFill="1" applyBorder="1"/>
    <xf numFmtId="3" fontId="214" fillId="0" borderId="37" xfId="97" applyNumberFormat="1" applyFont="1" applyBorder="1"/>
    <xf numFmtId="3" fontId="214" fillId="30" borderId="36" xfId="97" applyNumberFormat="1" applyFont="1" applyFill="1" applyBorder="1"/>
    <xf numFmtId="3" fontId="214" fillId="30" borderId="37" xfId="97" applyNumberFormat="1" applyFont="1" applyFill="1" applyBorder="1"/>
    <xf numFmtId="3" fontId="216" fillId="0" borderId="41" xfId="96" applyNumberFormat="1" applyFont="1" applyBorder="1" applyAlignment="1">
      <alignment horizontal="center"/>
    </xf>
    <xf numFmtId="3" fontId="216" fillId="0" borderId="95" xfId="96" applyNumberFormat="1" applyFont="1" applyBorder="1"/>
    <xf numFmtId="3" fontId="216" fillId="0" borderId="95" xfId="97" applyNumberFormat="1" applyFont="1" applyBorder="1"/>
    <xf numFmtId="3" fontId="216" fillId="30" borderId="64" xfId="97" applyNumberFormat="1" applyFont="1" applyFill="1" applyBorder="1"/>
    <xf numFmtId="3" fontId="216" fillId="30" borderId="95" xfId="97" applyNumberFormat="1" applyFont="1" applyFill="1" applyBorder="1"/>
    <xf numFmtId="3" fontId="216" fillId="30" borderId="108" xfId="96" applyNumberFormat="1" applyFont="1" applyFill="1" applyBorder="1"/>
    <xf numFmtId="3" fontId="216" fillId="0" borderId="19" xfId="96" applyNumberFormat="1" applyFont="1" applyBorder="1" applyAlignment="1">
      <alignment horizontal="center"/>
    </xf>
    <xf numFmtId="3" fontId="216" fillId="0" borderId="16" xfId="96" applyNumberFormat="1" applyFont="1" applyBorder="1"/>
    <xf numFmtId="3" fontId="216" fillId="0" borderId="16" xfId="97" applyNumberFormat="1" applyFont="1" applyBorder="1"/>
    <xf numFmtId="3" fontId="216" fillId="30" borderId="61" xfId="97" applyNumberFormat="1" applyFont="1" applyFill="1" applyBorder="1"/>
    <xf numFmtId="3" fontId="216" fillId="30" borderId="16" xfId="97" applyNumberFormat="1" applyFont="1" applyFill="1" applyBorder="1"/>
    <xf numFmtId="3" fontId="216" fillId="30" borderId="28" xfId="96" applyNumberFormat="1" applyFont="1" applyFill="1" applyBorder="1"/>
    <xf numFmtId="3" fontId="214" fillId="0" borderId="0" xfId="97" applyNumberFormat="1" applyFont="1"/>
    <xf numFmtId="3" fontId="214" fillId="30" borderId="15" xfId="97" applyNumberFormat="1" applyFont="1" applyFill="1" applyBorder="1"/>
    <xf numFmtId="3" fontId="214" fillId="30" borderId="0" xfId="97" applyNumberFormat="1" applyFont="1" applyFill="1"/>
    <xf numFmtId="3" fontId="216" fillId="0" borderId="93" xfId="97" applyNumberFormat="1" applyFont="1" applyBorder="1"/>
    <xf numFmtId="3" fontId="216" fillId="30" borderId="21" xfId="97" applyNumberFormat="1" applyFont="1" applyFill="1" applyBorder="1"/>
    <xf numFmtId="3" fontId="216" fillId="30" borderId="60" xfId="97" applyNumberFormat="1" applyFont="1" applyFill="1" applyBorder="1"/>
    <xf numFmtId="3" fontId="218" fillId="0" borderId="0" xfId="97" applyNumberFormat="1" applyFont="1"/>
    <xf numFmtId="3" fontId="216" fillId="30" borderId="93" xfId="97" applyNumberFormat="1" applyFont="1" applyFill="1" applyBorder="1"/>
    <xf numFmtId="3" fontId="216" fillId="0" borderId="21" xfId="97" applyNumberFormat="1" applyFont="1" applyBorder="1"/>
    <xf numFmtId="3" fontId="216" fillId="0" borderId="60" xfId="96" applyNumberFormat="1" applyFont="1" applyBorder="1"/>
    <xf numFmtId="3" fontId="214" fillId="30" borderId="59" xfId="96" applyNumberFormat="1" applyFont="1" applyFill="1" applyBorder="1" applyAlignment="1">
      <alignment horizontal="right"/>
    </xf>
    <xf numFmtId="3" fontId="214" fillId="30" borderId="68" xfId="96" applyNumberFormat="1" applyFont="1" applyFill="1" applyBorder="1" applyAlignment="1">
      <alignment horizontal="right"/>
    </xf>
    <xf numFmtId="3" fontId="214" fillId="0" borderId="23" xfId="96" applyNumberFormat="1" applyFont="1" applyBorder="1" applyAlignment="1">
      <alignment horizontal="center"/>
    </xf>
    <xf numFmtId="3" fontId="214" fillId="0" borderId="46" xfId="96" applyNumberFormat="1" applyFont="1" applyBorder="1"/>
    <xf numFmtId="3" fontId="214" fillId="0" borderId="46" xfId="97" applyNumberFormat="1" applyFont="1" applyBorder="1"/>
    <xf numFmtId="3" fontId="214" fillId="0" borderId="45" xfId="97" applyNumberFormat="1" applyFont="1" applyBorder="1"/>
    <xf numFmtId="3" fontId="214" fillId="0" borderId="27" xfId="96" applyNumberFormat="1" applyFont="1" applyBorder="1"/>
    <xf numFmtId="3" fontId="216" fillId="0" borderId="18" xfId="96" applyNumberFormat="1" applyFont="1" applyBorder="1"/>
    <xf numFmtId="3" fontId="214" fillId="0" borderId="68" xfId="96" applyNumberFormat="1" applyFont="1" applyBorder="1"/>
    <xf numFmtId="3" fontId="216" fillId="30" borderId="0" xfId="96" applyNumberFormat="1" applyFont="1" applyFill="1"/>
    <xf numFmtId="3" fontId="214" fillId="0" borderId="15" xfId="96" applyNumberFormat="1" applyFont="1" applyBorder="1"/>
    <xf numFmtId="3" fontId="214" fillId="0" borderId="59" xfId="96" applyNumberFormat="1" applyFont="1" applyBorder="1"/>
    <xf numFmtId="3" fontId="216" fillId="0" borderId="67" xfId="96" applyNumberFormat="1" applyFont="1" applyBorder="1"/>
    <xf numFmtId="3" fontId="216" fillId="0" borderId="36" xfId="96" applyNumberFormat="1" applyFont="1" applyBorder="1"/>
    <xf numFmtId="3" fontId="214" fillId="0" borderId="36" xfId="96" applyNumberFormat="1" applyFont="1" applyBorder="1"/>
    <xf numFmtId="3" fontId="216" fillId="0" borderId="40" xfId="96" applyNumberFormat="1" applyFont="1" applyBorder="1"/>
    <xf numFmtId="3" fontId="214" fillId="0" borderId="16" xfId="96" applyNumberFormat="1" applyFont="1" applyBorder="1"/>
    <xf numFmtId="3" fontId="216" fillId="0" borderId="61" xfId="96" applyNumberFormat="1" applyFont="1" applyBorder="1"/>
    <xf numFmtId="3" fontId="216" fillId="0" borderId="28" xfId="96" applyNumberFormat="1" applyFont="1" applyBorder="1"/>
    <xf numFmtId="3" fontId="216" fillId="0" borderId="20" xfId="96" applyNumberFormat="1" applyFont="1" applyBorder="1"/>
    <xf numFmtId="3" fontId="214" fillId="0" borderId="93" xfId="96" applyNumberFormat="1" applyFont="1" applyBorder="1"/>
    <xf numFmtId="3" fontId="216" fillId="0" borderId="93" xfId="96" applyNumberFormat="1" applyFont="1" applyBorder="1" applyAlignment="1">
      <alignment horizontal="center"/>
    </xf>
    <xf numFmtId="3" fontId="214" fillId="0" borderId="20" xfId="96" applyNumberFormat="1" applyFont="1" applyBorder="1" applyAlignment="1">
      <alignment horizontal="center"/>
    </xf>
    <xf numFmtId="3" fontId="216" fillId="0" borderId="21" xfId="96" applyNumberFormat="1" applyFont="1" applyBorder="1" applyAlignment="1">
      <alignment horizontal="center"/>
    </xf>
    <xf numFmtId="3" fontId="216" fillId="0" borderId="60" xfId="96" applyNumberFormat="1" applyFont="1" applyBorder="1" applyAlignment="1">
      <alignment horizontal="center"/>
    </xf>
    <xf numFmtId="0" fontId="85" fillId="0" borderId="26" xfId="0" applyFont="1" applyBorder="1"/>
    <xf numFmtId="0" fontId="85" fillId="0" borderId="148" xfId="0" applyFont="1" applyBorder="1" applyAlignment="1">
      <alignment horizontal="left"/>
    </xf>
    <xf numFmtId="0" fontId="85" fillId="0" borderId="105" xfId="0" applyFont="1" applyBorder="1" applyAlignment="1">
      <alignment horizontal="left"/>
    </xf>
    <xf numFmtId="0" fontId="85" fillId="0" borderId="30" xfId="0" applyFont="1" applyBorder="1" applyAlignment="1">
      <alignment horizontal="left"/>
    </xf>
    <xf numFmtId="0" fontId="85" fillId="0" borderId="144" xfId="0" applyFont="1" applyBorder="1" applyAlignment="1">
      <alignment horizontal="left"/>
    </xf>
    <xf numFmtId="0" fontId="85" fillId="0" borderId="123" xfId="77" applyFont="1" applyBorder="1" applyAlignment="1">
      <alignment horizontal="left" wrapText="1"/>
    </xf>
    <xf numFmtId="0" fontId="86" fillId="0" borderId="17" xfId="77" applyFont="1" applyBorder="1" applyAlignment="1">
      <alignment horizontal="center"/>
    </xf>
    <xf numFmtId="0" fontId="208" fillId="0" borderId="26" xfId="77" applyFont="1" applyBorder="1" applyAlignment="1">
      <alignment horizontal="center"/>
    </xf>
    <xf numFmtId="0" fontId="86" fillId="0" borderId="144" xfId="77" applyFont="1" applyBorder="1"/>
    <xf numFmtId="0" fontId="85" fillId="0" borderId="110" xfId="0" applyFont="1" applyBorder="1" applyAlignment="1">
      <alignment wrapText="1"/>
    </xf>
    <xf numFmtId="0" fontId="85" fillId="0" borderId="38" xfId="77" applyFont="1" applyBorder="1" applyAlignment="1">
      <alignment wrapText="1"/>
    </xf>
    <xf numFmtId="0" fontId="85" fillId="0" borderId="38" xfId="0" applyFont="1" applyBorder="1" applyAlignment="1">
      <alignment wrapText="1"/>
    </xf>
    <xf numFmtId="0" fontId="85" fillId="0" borderId="19" xfId="0" applyFont="1" applyBorder="1" applyAlignment="1">
      <alignment wrapText="1"/>
    </xf>
    <xf numFmtId="0" fontId="85" fillId="0" borderId="42" xfId="77" applyFont="1" applyBorder="1" applyAlignment="1">
      <alignment wrapText="1"/>
    </xf>
    <xf numFmtId="0" fontId="219" fillId="0" borderId="18" xfId="0" applyFont="1" applyBorder="1"/>
    <xf numFmtId="3" fontId="220" fillId="0" borderId="0" xfId="0" applyNumberFormat="1" applyFont="1"/>
    <xf numFmtId="0" fontId="219" fillId="0" borderId="40" xfId="0" applyFont="1" applyBorder="1"/>
    <xf numFmtId="0" fontId="219" fillId="0" borderId="37" xfId="0" applyFont="1" applyBorder="1"/>
    <xf numFmtId="3" fontId="219" fillId="0" borderId="15" xfId="0" applyNumberFormat="1" applyFont="1" applyBorder="1"/>
    <xf numFmtId="2" fontId="219" fillId="0" borderId="102" xfId="0" applyNumberFormat="1" applyFont="1" applyBorder="1"/>
    <xf numFmtId="3" fontId="219" fillId="0" borderId="36" xfId="0" applyNumberFormat="1" applyFont="1" applyBorder="1"/>
    <xf numFmtId="2" fontId="219" fillId="0" borderId="68" xfId="0" applyNumberFormat="1" applyFont="1" applyBorder="1"/>
    <xf numFmtId="0" fontId="219" fillId="0" borderId="0" xfId="0" applyFont="1"/>
    <xf numFmtId="2" fontId="219" fillId="0" borderId="71" xfId="0" applyNumberFormat="1" applyFont="1" applyBorder="1"/>
    <xf numFmtId="3" fontId="219" fillId="0" borderId="86" xfId="0" applyNumberFormat="1" applyFont="1" applyBorder="1"/>
    <xf numFmtId="3" fontId="219" fillId="0" borderId="0" xfId="0" applyNumberFormat="1" applyFont="1"/>
    <xf numFmtId="3" fontId="221" fillId="0" borderId="18" xfId="0" applyNumberFormat="1" applyFont="1" applyBorder="1"/>
    <xf numFmtId="0" fontId="221" fillId="0" borderId="18" xfId="0" applyFont="1" applyBorder="1"/>
    <xf numFmtId="3" fontId="221" fillId="0" borderId="98" xfId="0" applyNumberFormat="1" applyFont="1" applyBorder="1"/>
    <xf numFmtId="0" fontId="221" fillId="0" borderId="91" xfId="0" applyFont="1" applyBorder="1"/>
    <xf numFmtId="3" fontId="221" fillId="0" borderId="91" xfId="0" applyNumberFormat="1" applyFont="1" applyBorder="1"/>
    <xf numFmtId="3" fontId="221" fillId="0" borderId="101" xfId="0" applyNumberFormat="1" applyFont="1" applyBorder="1"/>
    <xf numFmtId="3" fontId="221" fillId="0" borderId="100" xfId="0" applyNumberFormat="1" applyFont="1" applyBorder="1"/>
    <xf numFmtId="3" fontId="221" fillId="0" borderId="43" xfId="0" applyNumberFormat="1" applyFont="1" applyBorder="1"/>
    <xf numFmtId="4" fontId="221" fillId="0" borderId="80" xfId="0" applyNumberFormat="1" applyFont="1" applyBorder="1"/>
    <xf numFmtId="3" fontId="221" fillId="0" borderId="23" xfId="0" applyNumberFormat="1" applyFont="1" applyBorder="1"/>
    <xf numFmtId="3" fontId="221" fillId="0" borderId="46" xfId="0" applyNumberFormat="1" applyFont="1" applyBorder="1"/>
    <xf numFmtId="3" fontId="221" fillId="0" borderId="63" xfId="0" applyNumberFormat="1" applyFont="1" applyBorder="1"/>
    <xf numFmtId="0" fontId="221" fillId="28" borderId="45" xfId="0" applyFont="1" applyFill="1" applyBorder="1" applyAlignment="1">
      <alignment horizontal="center"/>
    </xf>
    <xf numFmtId="0" fontId="221" fillId="28" borderId="63" xfId="0" applyFont="1" applyFill="1" applyBorder="1" applyAlignment="1">
      <alignment horizontal="center"/>
    </xf>
    <xf numFmtId="0" fontId="221" fillId="0" borderId="19" xfId="0" applyFont="1" applyBorder="1" applyAlignment="1">
      <alignment horizontal="left"/>
    </xf>
    <xf numFmtId="3" fontId="221" fillId="0" borderId="16" xfId="0" applyNumberFormat="1" applyFont="1" applyBorder="1" applyAlignment="1">
      <alignment horizontal="left"/>
    </xf>
    <xf numFmtId="0" fontId="221" fillId="0" borderId="43" xfId="0" applyFont="1" applyBorder="1" applyAlignment="1">
      <alignment horizontal="center"/>
    </xf>
    <xf numFmtId="0" fontId="221" fillId="28" borderId="61" xfId="0" applyFont="1" applyFill="1" applyBorder="1" applyAlignment="1">
      <alignment horizontal="center"/>
    </xf>
    <xf numFmtId="0" fontId="221" fillId="28" borderId="99" xfId="0" applyFont="1" applyFill="1" applyBorder="1" applyAlignment="1">
      <alignment horizontal="center"/>
    </xf>
    <xf numFmtId="3" fontId="221" fillId="0" borderId="46" xfId="0" applyNumberFormat="1" applyFont="1" applyBorder="1" applyAlignment="1">
      <alignment horizontal="left"/>
    </xf>
    <xf numFmtId="3" fontId="219" fillId="0" borderId="46" xfId="0" applyNumberFormat="1" applyFont="1" applyBorder="1"/>
    <xf numFmtId="0" fontId="221" fillId="28" borderId="53" xfId="0" applyFont="1" applyFill="1" applyBorder="1" applyAlignment="1">
      <alignment horizontal="center"/>
    </xf>
    <xf numFmtId="3" fontId="219" fillId="0" borderId="16" xfId="0" applyNumberFormat="1" applyFont="1" applyBorder="1"/>
    <xf numFmtId="0" fontId="221" fillId="28" borderId="84" xfId="0" applyFont="1" applyFill="1" applyBorder="1" applyAlignment="1">
      <alignment horizontal="center"/>
    </xf>
    <xf numFmtId="3" fontId="221" fillId="0" borderId="0" xfId="0" applyNumberFormat="1" applyFont="1" applyAlignment="1">
      <alignment horizontal="right"/>
    </xf>
    <xf numFmtId="3" fontId="219" fillId="0" borderId="15" xfId="0" applyNumberFormat="1" applyFont="1" applyBorder="1" applyAlignment="1">
      <alignment horizontal="right"/>
    </xf>
    <xf numFmtId="4" fontId="219" fillId="0" borderId="102" xfId="0" applyNumberFormat="1" applyFont="1" applyBorder="1" applyAlignment="1">
      <alignment horizontal="right"/>
    </xf>
    <xf numFmtId="3" fontId="221" fillId="0" borderId="37" xfId="0" applyNumberFormat="1" applyFont="1" applyBorder="1"/>
    <xf numFmtId="3" fontId="219" fillId="0" borderId="36" xfId="0" applyNumberFormat="1" applyFont="1" applyBorder="1" applyAlignment="1">
      <alignment horizontal="right"/>
    </xf>
    <xf numFmtId="4" fontId="219" fillId="0" borderId="68" xfId="0" applyNumberFormat="1" applyFont="1" applyBorder="1" applyAlignment="1">
      <alignment horizontal="right"/>
    </xf>
    <xf numFmtId="3" fontId="220" fillId="0" borderId="37" xfId="0" applyNumberFormat="1" applyFont="1" applyBorder="1" applyAlignment="1">
      <alignment horizontal="left"/>
    </xf>
    <xf numFmtId="3" fontId="219" fillId="0" borderId="37" xfId="0" applyNumberFormat="1" applyFont="1" applyBorder="1"/>
    <xf numFmtId="3" fontId="219" fillId="0" borderId="37" xfId="0" applyNumberFormat="1" applyFont="1" applyBorder="1" applyAlignment="1">
      <alignment horizontal="left"/>
    </xf>
    <xf numFmtId="0" fontId="221" fillId="0" borderId="0" xfId="0" applyFont="1"/>
    <xf numFmtId="4" fontId="219" fillId="0" borderId="71" xfId="0" applyNumberFormat="1" applyFont="1" applyBorder="1" applyAlignment="1">
      <alignment horizontal="right"/>
    </xf>
    <xf numFmtId="4" fontId="219" fillId="0" borderId="67" xfId="0" applyNumberFormat="1" applyFont="1" applyBorder="1" applyAlignment="1">
      <alignment horizontal="right"/>
    </xf>
    <xf numFmtId="0" fontId="219" fillId="0" borderId="50" xfId="0" applyFont="1" applyBorder="1"/>
    <xf numFmtId="3" fontId="219" fillId="0" borderId="51" xfId="0" applyNumberFormat="1" applyFont="1" applyBorder="1"/>
    <xf numFmtId="3" fontId="219" fillId="0" borderId="92" xfId="0" applyNumberFormat="1" applyFont="1" applyBorder="1"/>
    <xf numFmtId="3" fontId="219" fillId="30" borderId="51" xfId="0" applyNumberFormat="1" applyFont="1" applyFill="1" applyBorder="1"/>
    <xf numFmtId="0" fontId="219" fillId="0" borderId="50" xfId="0" applyFont="1" applyBorder="1" applyAlignment="1">
      <alignment wrapText="1"/>
    </xf>
    <xf numFmtId="0" fontId="221" fillId="0" borderId="23" xfId="0" applyFont="1" applyBorder="1"/>
    <xf numFmtId="3" fontId="221" fillId="0" borderId="45" xfId="0" applyNumberFormat="1" applyFont="1" applyBorder="1"/>
    <xf numFmtId="4" fontId="219" fillId="0" borderId="27" xfId="0" applyNumberFormat="1" applyFont="1" applyBorder="1" applyAlignment="1">
      <alignment horizontal="right"/>
    </xf>
    <xf numFmtId="3" fontId="221" fillId="0" borderId="21" xfId="0" applyNumberFormat="1" applyFont="1" applyBorder="1"/>
    <xf numFmtId="4" fontId="221" fillId="0" borderId="81" xfId="0" applyNumberFormat="1" applyFont="1" applyBorder="1"/>
    <xf numFmtId="0" fontId="221" fillId="0" borderId="23" xfId="0" applyFont="1" applyBorder="1" applyAlignment="1">
      <alignment horizontal="left"/>
    </xf>
    <xf numFmtId="0" fontId="221" fillId="28" borderId="27" xfId="0" applyFont="1" applyFill="1" applyBorder="1" applyAlignment="1">
      <alignment horizontal="center"/>
    </xf>
    <xf numFmtId="0" fontId="221" fillId="0" borderId="18" xfId="0" applyFont="1" applyBorder="1" applyAlignment="1">
      <alignment horizontal="left"/>
    </xf>
    <xf numFmtId="3" fontId="221" fillId="0" borderId="0" xfId="0" applyNumberFormat="1" applyFont="1" applyAlignment="1">
      <alignment horizontal="left"/>
    </xf>
    <xf numFmtId="0" fontId="221" fillId="0" borderId="55" xfId="0" applyFont="1" applyBorder="1" applyAlignment="1">
      <alignment horizontal="center"/>
    </xf>
    <xf numFmtId="0" fontId="221" fillId="28" borderId="15" xfId="0" applyFont="1" applyFill="1" applyBorder="1" applyAlignment="1">
      <alignment horizontal="center"/>
    </xf>
    <xf numFmtId="0" fontId="221" fillId="28" borderId="59" xfId="0" applyFont="1" applyFill="1" applyBorder="1" applyAlignment="1">
      <alignment horizontal="center"/>
    </xf>
    <xf numFmtId="3" fontId="221" fillId="0" borderId="19" xfId="0" applyNumberFormat="1" applyFont="1" applyBorder="1" applyAlignment="1">
      <alignment horizontal="centerContinuous"/>
    </xf>
    <xf numFmtId="3" fontId="221" fillId="0" borderId="16" xfId="0" applyNumberFormat="1" applyFont="1" applyBorder="1" applyAlignment="1">
      <alignment horizontal="centerContinuous"/>
    </xf>
    <xf numFmtId="0" fontId="221" fillId="0" borderId="61" xfId="0" applyFont="1" applyBorder="1" applyAlignment="1">
      <alignment horizontal="center"/>
    </xf>
    <xf numFmtId="0" fontId="221" fillId="0" borderId="28" xfId="0" applyFont="1" applyBorder="1" applyAlignment="1">
      <alignment horizontal="center"/>
    </xf>
    <xf numFmtId="3" fontId="219" fillId="0" borderId="18" xfId="0" applyNumberFormat="1" applyFont="1" applyBorder="1" applyAlignment="1">
      <alignment horizontal="left"/>
    </xf>
    <xf numFmtId="3" fontId="219" fillId="0" borderId="0" xfId="0" applyNumberFormat="1" applyFont="1" applyAlignment="1">
      <alignment horizontal="left"/>
    </xf>
    <xf numFmtId="3" fontId="219" fillId="0" borderId="0" xfId="0" applyNumberFormat="1" applyFont="1" applyAlignment="1">
      <alignment horizontal="centerContinuous"/>
    </xf>
    <xf numFmtId="4" fontId="219" fillId="0" borderId="102" xfId="0" applyNumberFormat="1" applyFont="1" applyBorder="1"/>
    <xf numFmtId="3" fontId="219" fillId="0" borderId="40" xfId="0" applyNumberFormat="1" applyFont="1" applyBorder="1" applyAlignment="1">
      <alignment horizontal="left"/>
    </xf>
    <xf numFmtId="3" fontId="219" fillId="0" borderId="37" xfId="0" applyNumberFormat="1" applyFont="1" applyBorder="1" applyAlignment="1">
      <alignment horizontal="centerContinuous"/>
    </xf>
    <xf numFmtId="4" fontId="219" fillId="0" borderId="68" xfId="0" applyNumberFormat="1" applyFont="1" applyBorder="1"/>
    <xf numFmtId="0" fontId="219" fillId="0" borderId="40" xfId="0" applyFont="1" applyBorder="1" applyAlignment="1">
      <alignment horizontal="left"/>
    </xf>
    <xf numFmtId="3" fontId="219" fillId="0" borderId="37" xfId="0" applyNumberFormat="1" applyFont="1" applyBorder="1" applyAlignment="1">
      <alignment horizontal="right"/>
    </xf>
    <xf numFmtId="3" fontId="219" fillId="0" borderId="18" xfId="0" applyNumberFormat="1" applyFont="1" applyBorder="1" applyAlignment="1">
      <alignment horizontal="centerContinuous"/>
    </xf>
    <xf numFmtId="0" fontId="221" fillId="0" borderId="15" xfId="0" applyFont="1" applyBorder="1" applyAlignment="1">
      <alignment horizontal="center"/>
    </xf>
    <xf numFmtId="0" fontId="221" fillId="0" borderId="86" xfId="0" applyFont="1" applyBorder="1" applyAlignment="1">
      <alignment horizontal="center"/>
    </xf>
    <xf numFmtId="3" fontId="221" fillId="0" borderId="18" xfId="0" applyNumberFormat="1" applyFont="1" applyBorder="1" applyAlignment="1">
      <alignment horizontal="centerContinuous"/>
    </xf>
    <xf numFmtId="3" fontId="221" fillId="0" borderId="0" xfId="0" applyNumberFormat="1" applyFont="1" applyAlignment="1">
      <alignment horizontal="centerContinuous"/>
    </xf>
    <xf numFmtId="0" fontId="221" fillId="0" borderId="0" xfId="0" applyFont="1" applyAlignment="1">
      <alignment horizontal="center"/>
    </xf>
    <xf numFmtId="3" fontId="221" fillId="0" borderId="18" xfId="0" applyNumberFormat="1" applyFont="1" applyBorder="1" applyAlignment="1">
      <alignment horizontal="left"/>
    </xf>
    <xf numFmtId="0" fontId="219" fillId="0" borderId="0" xfId="77" applyFont="1"/>
    <xf numFmtId="3" fontId="219" fillId="0" borderId="0" xfId="0" applyNumberFormat="1" applyFont="1" applyAlignment="1">
      <alignment horizontal="center"/>
    </xf>
    <xf numFmtId="3" fontId="219" fillId="0" borderId="18" xfId="0" applyNumberFormat="1" applyFont="1" applyBorder="1"/>
    <xf numFmtId="0" fontId="219" fillId="0" borderId="0" xfId="77" applyFont="1" applyAlignment="1">
      <alignment horizontal="left"/>
    </xf>
    <xf numFmtId="3" fontId="221" fillId="0" borderId="0" xfId="0" applyNumberFormat="1" applyFont="1"/>
    <xf numFmtId="3" fontId="221" fillId="0" borderId="93" xfId="0" applyNumberFormat="1" applyFont="1" applyBorder="1"/>
    <xf numFmtId="3" fontId="221" fillId="0" borderId="25" xfId="0" applyNumberFormat="1" applyFont="1" applyBorder="1"/>
    <xf numFmtId="3" fontId="221" fillId="0" borderId="47" xfId="0" applyNumberFormat="1" applyFont="1" applyBorder="1"/>
    <xf numFmtId="3" fontId="221" fillId="0" borderId="27" xfId="0" applyNumberFormat="1" applyFont="1" applyBorder="1"/>
    <xf numFmtId="0" fontId="219" fillId="0" borderId="50" xfId="77" applyFont="1" applyBorder="1" applyAlignment="1">
      <alignment horizontal="justify"/>
    </xf>
    <xf numFmtId="3" fontId="219" fillId="0" borderId="109" xfId="77" applyNumberFormat="1" applyFont="1" applyBorder="1" applyAlignment="1">
      <alignment horizontal="right"/>
    </xf>
    <xf numFmtId="4" fontId="219" fillId="0" borderId="67" xfId="0" applyNumberFormat="1" applyFont="1" applyBorder="1"/>
    <xf numFmtId="0" fontId="219" fillId="0" borderId="37" xfId="77" applyFont="1" applyBorder="1" applyAlignment="1">
      <alignment horizontal="justify"/>
    </xf>
    <xf numFmtId="3" fontId="219" fillId="0" borderId="34" xfId="0" applyNumberFormat="1" applyFont="1" applyBorder="1"/>
    <xf numFmtId="3" fontId="219" fillId="0" borderId="120" xfId="0" applyNumberFormat="1" applyFont="1" applyBorder="1" applyAlignment="1">
      <alignment horizontal="left" wrapText="1"/>
    </xf>
    <xf numFmtId="3" fontId="221" fillId="0" borderId="15" xfId="0" applyNumberFormat="1" applyFont="1" applyBorder="1"/>
    <xf numFmtId="3" fontId="221" fillId="0" borderId="86" xfId="0" applyNumberFormat="1" applyFont="1" applyBorder="1"/>
    <xf numFmtId="3" fontId="221" fillId="0" borderId="19" xfId="0" applyNumberFormat="1" applyFont="1" applyBorder="1"/>
    <xf numFmtId="3" fontId="219" fillId="0" borderId="61" xfId="0" applyNumberFormat="1" applyFont="1" applyBorder="1"/>
    <xf numFmtId="3" fontId="219" fillId="0" borderId="84" xfId="0" applyNumberFormat="1" applyFont="1" applyBorder="1"/>
    <xf numFmtId="0" fontId="221" fillId="0" borderId="46" xfId="0" applyFont="1" applyBorder="1" applyAlignment="1">
      <alignment horizontal="left"/>
    </xf>
    <xf numFmtId="4" fontId="221" fillId="28" borderId="27" xfId="0" applyNumberFormat="1" applyFont="1" applyFill="1" applyBorder="1" applyAlignment="1">
      <alignment horizontal="center"/>
    </xf>
    <xf numFmtId="0" fontId="221" fillId="0" borderId="0" xfId="0" applyFont="1" applyAlignment="1">
      <alignment horizontal="left"/>
    </xf>
    <xf numFmtId="4" fontId="221" fillId="28" borderId="59" xfId="0" applyNumberFormat="1" applyFont="1" applyFill="1" applyBorder="1" applyAlignment="1">
      <alignment horizontal="center"/>
    </xf>
    <xf numFmtId="0" fontId="219" fillId="0" borderId="16" xfId="0" applyFont="1" applyBorder="1"/>
    <xf numFmtId="3" fontId="221" fillId="0" borderId="16" xfId="0" applyNumberFormat="1" applyFont="1" applyBorder="1" applyAlignment="1">
      <alignment horizontal="right"/>
    </xf>
    <xf numFmtId="4" fontId="221" fillId="0" borderId="84" xfId="0" applyNumberFormat="1" applyFont="1" applyBorder="1" applyAlignment="1">
      <alignment horizontal="center"/>
    </xf>
    <xf numFmtId="4" fontId="221" fillId="0" borderId="86" xfId="0" applyNumberFormat="1" applyFont="1" applyBorder="1" applyAlignment="1">
      <alignment horizontal="center"/>
    </xf>
    <xf numFmtId="0" fontId="219" fillId="0" borderId="38" xfId="0" applyFont="1" applyBorder="1"/>
    <xf numFmtId="3" fontId="221" fillId="0" borderId="50" xfId="0" applyNumberFormat="1" applyFont="1" applyBorder="1" applyAlignment="1">
      <alignment horizontal="right"/>
    </xf>
    <xf numFmtId="3" fontId="219" fillId="0" borderId="51" xfId="0" applyNumberFormat="1" applyFont="1" applyBorder="1" applyAlignment="1">
      <alignment horizontal="right"/>
    </xf>
    <xf numFmtId="3" fontId="221" fillId="0" borderId="37" xfId="0" applyNumberFormat="1" applyFont="1" applyBorder="1" applyAlignment="1">
      <alignment horizontal="right"/>
    </xf>
    <xf numFmtId="0" fontId="221" fillId="0" borderId="20" xfId="0" applyFont="1" applyBorder="1"/>
    <xf numFmtId="3" fontId="221" fillId="0" borderId="93" xfId="0" applyNumberFormat="1" applyFont="1" applyBorder="1" applyAlignment="1">
      <alignment horizontal="right"/>
    </xf>
    <xf numFmtId="3" fontId="221" fillId="0" borderId="21" xfId="0" applyNumberFormat="1" applyFont="1" applyBorder="1" applyAlignment="1">
      <alignment horizontal="right"/>
    </xf>
    <xf numFmtId="0" fontId="221" fillId="0" borderId="49" xfId="0" applyFont="1" applyBorder="1"/>
    <xf numFmtId="3" fontId="221" fillId="0" borderId="24" xfId="0" applyNumberFormat="1" applyFont="1" applyBorder="1" applyAlignment="1">
      <alignment horizontal="right"/>
    </xf>
    <xf numFmtId="3" fontId="221" fillId="0" borderId="32" xfId="0" applyNumberFormat="1" applyFont="1" applyBorder="1" applyAlignment="1">
      <alignment horizontal="right"/>
    </xf>
    <xf numFmtId="4" fontId="221" fillId="0" borderId="54" xfId="0" applyNumberFormat="1" applyFont="1" applyBorder="1"/>
    <xf numFmtId="4" fontId="221" fillId="0" borderId="46" xfId="0" applyNumberFormat="1" applyFont="1" applyBorder="1"/>
    <xf numFmtId="3" fontId="221" fillId="0" borderId="47" xfId="0" applyNumberFormat="1" applyFont="1" applyBorder="1" applyAlignment="1">
      <alignment horizontal="left"/>
    </xf>
    <xf numFmtId="4" fontId="221" fillId="0" borderId="53" xfId="0" applyNumberFormat="1" applyFont="1" applyBorder="1"/>
    <xf numFmtId="3" fontId="219" fillId="0" borderId="38" xfId="0" applyNumberFormat="1" applyFont="1" applyBorder="1" applyAlignment="1">
      <alignment horizontal="left"/>
    </xf>
    <xf numFmtId="3" fontId="221" fillId="0" borderId="50" xfId="0" applyNumberFormat="1" applyFont="1" applyBorder="1" applyAlignment="1">
      <alignment horizontal="left"/>
    </xf>
    <xf numFmtId="3" fontId="222" fillId="0" borderId="40" xfId="0" applyNumberFormat="1" applyFont="1" applyBorder="1" applyAlignment="1">
      <alignment horizontal="left"/>
    </xf>
    <xf numFmtId="3" fontId="222" fillId="0" borderId="37" xfId="0" applyNumberFormat="1" applyFont="1" applyBorder="1" applyAlignment="1">
      <alignment horizontal="left"/>
    </xf>
    <xf numFmtId="3" fontId="221" fillId="0" borderId="37" xfId="0" applyNumberFormat="1" applyFont="1" applyBorder="1" applyAlignment="1">
      <alignment horizontal="left"/>
    </xf>
    <xf numFmtId="4" fontId="219" fillId="0" borderId="86" xfId="0" applyNumberFormat="1" applyFont="1" applyBorder="1"/>
    <xf numFmtId="3" fontId="221" fillId="0" borderId="23" xfId="0" applyNumberFormat="1" applyFont="1" applyBorder="1" applyAlignment="1">
      <alignment horizontal="left"/>
    </xf>
    <xf numFmtId="0" fontId="219" fillId="0" borderId="19" xfId="0" applyFont="1" applyBorder="1" applyAlignment="1">
      <alignment horizontal="left"/>
    </xf>
    <xf numFmtId="4" fontId="219" fillId="0" borderId="84" xfId="0" applyNumberFormat="1" applyFont="1" applyBorder="1"/>
    <xf numFmtId="3" fontId="219" fillId="0" borderId="0" xfId="0" applyNumberFormat="1" applyFont="1" applyAlignment="1">
      <alignment horizontal="right"/>
    </xf>
    <xf numFmtId="4" fontId="219" fillId="0" borderId="16" xfId="0" applyNumberFormat="1" applyFont="1" applyBorder="1" applyAlignment="1">
      <alignment horizontal="right"/>
    </xf>
    <xf numFmtId="3" fontId="224" fillId="0" borderId="23" xfId="76" applyNumberFormat="1" applyFont="1" applyBorder="1" applyAlignment="1">
      <alignment horizontal="center"/>
    </xf>
    <xf numFmtId="3" fontId="224" fillId="0" borderId="18" xfId="76" applyNumberFormat="1" applyFont="1" applyBorder="1" applyAlignment="1">
      <alignment horizontal="center" vertical="center"/>
    </xf>
    <xf numFmtId="3" fontId="224" fillId="30" borderId="70" xfId="76" applyNumberFormat="1" applyFont="1" applyFill="1" applyBorder="1" applyAlignment="1">
      <alignment horizontal="center" vertical="center"/>
    </xf>
    <xf numFmtId="3" fontId="224" fillId="0" borderId="70" xfId="76" applyNumberFormat="1" applyFont="1" applyBorder="1" applyAlignment="1">
      <alignment horizontal="center" vertical="center" wrapText="1"/>
    </xf>
    <xf numFmtId="3" fontId="224" fillId="0" borderId="70" xfId="76" applyNumberFormat="1" applyFont="1" applyBorder="1" applyAlignment="1">
      <alignment horizontal="center" vertical="center"/>
    </xf>
    <xf numFmtId="3" fontId="224" fillId="0" borderId="83" xfId="76" applyNumberFormat="1" applyFont="1" applyBorder="1" applyAlignment="1">
      <alignment horizontal="center" vertical="center"/>
    </xf>
    <xf numFmtId="3" fontId="224" fillId="0" borderId="83" xfId="76" applyNumberFormat="1" applyFont="1" applyBorder="1" applyAlignment="1">
      <alignment horizontal="right"/>
    </xf>
    <xf numFmtId="3" fontId="224" fillId="0" borderId="83" xfId="76" applyNumberFormat="1" applyFont="1" applyBorder="1" applyAlignment="1">
      <alignment horizontal="center"/>
    </xf>
    <xf numFmtId="3" fontId="225" fillId="0" borderId="113" xfId="76" applyNumberFormat="1" applyFont="1" applyBorder="1" applyAlignment="1">
      <alignment horizontal="left"/>
    </xf>
    <xf numFmtId="3" fontId="225" fillId="0" borderId="113" xfId="76" applyNumberFormat="1" applyFont="1" applyBorder="1" applyAlignment="1">
      <alignment horizontal="right"/>
    </xf>
    <xf numFmtId="10" fontId="225" fillId="0" borderId="113" xfId="76" applyNumberFormat="1" applyFont="1" applyBorder="1" applyAlignment="1">
      <alignment horizontal="right"/>
    </xf>
    <xf numFmtId="3" fontId="224" fillId="0" borderId="113" xfId="76" applyNumberFormat="1" applyFont="1" applyBorder="1" applyAlignment="1">
      <alignment horizontal="right"/>
    </xf>
    <xf numFmtId="10" fontId="224" fillId="0" borderId="113" xfId="76" applyNumberFormat="1" applyFont="1" applyBorder="1" applyAlignment="1">
      <alignment horizontal="right"/>
    </xf>
    <xf numFmtId="3" fontId="225" fillId="0" borderId="70" xfId="76" applyNumberFormat="1" applyFont="1" applyBorder="1" applyAlignment="1">
      <alignment horizontal="left"/>
    </xf>
    <xf numFmtId="3" fontId="225" fillId="0" borderId="69" xfId="76" applyNumberFormat="1" applyFont="1" applyBorder="1" applyAlignment="1">
      <alignment horizontal="right"/>
    </xf>
    <xf numFmtId="10" fontId="225" fillId="0" borderId="69" xfId="76" applyNumberFormat="1" applyFont="1" applyBorder="1" applyAlignment="1">
      <alignment horizontal="right"/>
    </xf>
    <xf numFmtId="10" fontId="224" fillId="0" borderId="69" xfId="76" applyNumberFormat="1" applyFont="1" applyBorder="1" applyAlignment="1">
      <alignment horizontal="right"/>
    </xf>
    <xf numFmtId="10" fontId="225" fillId="0" borderId="76" xfId="76" applyNumberFormat="1" applyFont="1" applyBorder="1" applyAlignment="1">
      <alignment horizontal="right"/>
    </xf>
    <xf numFmtId="3" fontId="224" fillId="0" borderId="17" xfId="76" applyNumberFormat="1" applyFont="1" applyBorder="1" applyAlignment="1">
      <alignment horizontal="left"/>
    </xf>
    <xf numFmtId="3" fontId="224" fillId="0" borderId="77" xfId="76" applyNumberFormat="1" applyFont="1" applyBorder="1" applyAlignment="1">
      <alignment horizontal="right"/>
    </xf>
    <xf numFmtId="10" fontId="224" fillId="0" borderId="77" xfId="76" applyNumberFormat="1" applyFont="1" applyBorder="1" applyAlignment="1">
      <alignment horizontal="right"/>
    </xf>
    <xf numFmtId="3" fontId="225" fillId="0" borderId="17" xfId="76" applyNumberFormat="1" applyFont="1" applyBorder="1" applyAlignment="1">
      <alignment horizontal="left"/>
    </xf>
    <xf numFmtId="3" fontId="225" fillId="0" borderId="77" xfId="76" applyNumberFormat="1" applyFont="1" applyBorder="1" applyAlignment="1">
      <alignment horizontal="right"/>
    </xf>
    <xf numFmtId="10" fontId="225" fillId="0" borderId="77" xfId="76" applyNumberFormat="1" applyFont="1" applyBorder="1" applyAlignment="1">
      <alignment horizontal="right"/>
    </xf>
    <xf numFmtId="10" fontId="224" fillId="0" borderId="70" xfId="76" applyNumberFormat="1" applyFont="1" applyBorder="1" applyAlignment="1">
      <alignment horizontal="right"/>
    </xf>
    <xf numFmtId="3" fontId="224" fillId="0" borderId="69" xfId="76" applyNumberFormat="1" applyFont="1" applyBorder="1" applyAlignment="1">
      <alignment horizontal="center" vertical="center"/>
    </xf>
    <xf numFmtId="3" fontId="224" fillId="0" borderId="69" xfId="76" applyNumberFormat="1" applyFont="1" applyBorder="1" applyAlignment="1">
      <alignment horizontal="right"/>
    </xf>
    <xf numFmtId="3" fontId="226" fillId="0" borderId="69" xfId="76" applyNumberFormat="1" applyFont="1" applyBorder="1" applyAlignment="1">
      <alignment horizontal="center"/>
    </xf>
    <xf numFmtId="3" fontId="225" fillId="0" borderId="69" xfId="76" applyNumberFormat="1" applyFont="1" applyBorder="1" applyAlignment="1">
      <alignment horizontal="justify"/>
    </xf>
    <xf numFmtId="10" fontId="225" fillId="30" borderId="113" xfId="76" applyNumberFormat="1" applyFont="1" applyFill="1" applyBorder="1" applyAlignment="1">
      <alignment horizontal="right"/>
    </xf>
    <xf numFmtId="3" fontId="225" fillId="0" borderId="78" xfId="76" applyNumberFormat="1" applyFont="1" applyBorder="1" applyAlignment="1">
      <alignment horizontal="left"/>
    </xf>
    <xf numFmtId="3" fontId="225" fillId="0" borderId="78" xfId="76" applyNumberFormat="1" applyFont="1" applyBorder="1" applyAlignment="1">
      <alignment horizontal="right"/>
    </xf>
    <xf numFmtId="10" fontId="225" fillId="0" borderId="78" xfId="76" applyNumberFormat="1" applyFont="1" applyBorder="1" applyAlignment="1">
      <alignment horizontal="right"/>
    </xf>
    <xf numFmtId="3" fontId="225" fillId="0" borderId="89" xfId="76" applyNumberFormat="1" applyFont="1" applyBorder="1" applyAlignment="1">
      <alignment horizontal="left"/>
    </xf>
    <xf numFmtId="3" fontId="225" fillId="30" borderId="78" xfId="76" applyNumberFormat="1" applyFont="1" applyFill="1" applyBorder="1" applyAlignment="1">
      <alignment horizontal="right"/>
    </xf>
    <xf numFmtId="3" fontId="225" fillId="0" borderId="89" xfId="76" applyNumberFormat="1" applyFont="1" applyBorder="1" applyAlignment="1">
      <alignment horizontal="right"/>
    </xf>
    <xf numFmtId="3" fontId="224" fillId="0" borderId="77" xfId="76" applyNumberFormat="1" applyFont="1" applyBorder="1" applyAlignment="1">
      <alignment horizontal="left"/>
    </xf>
    <xf numFmtId="3" fontId="226" fillId="0" borderId="83" xfId="76" applyNumberFormat="1" applyFont="1" applyBorder="1" applyAlignment="1">
      <alignment horizontal="center"/>
    </xf>
    <xf numFmtId="10" fontId="225" fillId="0" borderId="70" xfId="76" applyNumberFormat="1" applyFont="1" applyBorder="1" applyAlignment="1">
      <alignment horizontal="right"/>
    </xf>
    <xf numFmtId="10" fontId="225" fillId="0" borderId="70" xfId="76" applyNumberFormat="1" applyFont="1" applyBorder="1"/>
    <xf numFmtId="3" fontId="225" fillId="0" borderId="83" xfId="76" applyNumberFormat="1" applyFont="1" applyBorder="1" applyAlignment="1">
      <alignment horizontal="right"/>
    </xf>
    <xf numFmtId="3" fontId="225" fillId="0" borderId="75" xfId="76" applyNumberFormat="1" applyFont="1" applyBorder="1" applyAlignment="1">
      <alignment wrapText="1"/>
    </xf>
    <xf numFmtId="3" fontId="225" fillId="0" borderId="75" xfId="76" applyNumberFormat="1" applyFont="1" applyBorder="1" applyAlignment="1">
      <alignment horizontal="right"/>
    </xf>
    <xf numFmtId="3" fontId="225" fillId="0" borderId="75" xfId="76" applyNumberFormat="1" applyFont="1" applyBorder="1"/>
    <xf numFmtId="3" fontId="225" fillId="0" borderId="113" xfId="76" applyNumberFormat="1" applyFont="1" applyBorder="1" applyAlignment="1">
      <alignment horizontal="justify"/>
    </xf>
    <xf numFmtId="3" fontId="225" fillId="0" borderId="140" xfId="76" applyNumberFormat="1" applyFont="1" applyBorder="1" applyAlignment="1">
      <alignment horizontal="right"/>
    </xf>
    <xf numFmtId="3" fontId="225" fillId="0" borderId="113" xfId="76" applyNumberFormat="1" applyFont="1" applyBorder="1"/>
    <xf numFmtId="3" fontId="225" fillId="30" borderId="113" xfId="76" applyNumberFormat="1" applyFont="1" applyFill="1" applyBorder="1" applyAlignment="1">
      <alignment horizontal="right"/>
    </xf>
    <xf numFmtId="3" fontId="225" fillId="0" borderId="76" xfId="76" applyNumberFormat="1" applyFont="1" applyBorder="1" applyAlignment="1">
      <alignment horizontal="justify"/>
    </xf>
    <xf numFmtId="3" fontId="225" fillId="0" borderId="76" xfId="76" applyNumberFormat="1" applyFont="1" applyBorder="1" applyAlignment="1">
      <alignment horizontal="right"/>
    </xf>
    <xf numFmtId="3" fontId="224" fillId="0" borderId="76" xfId="76" applyNumberFormat="1" applyFont="1" applyBorder="1" applyAlignment="1">
      <alignment horizontal="right"/>
    </xf>
    <xf numFmtId="10" fontId="224" fillId="0" borderId="76" xfId="76" applyNumberFormat="1" applyFont="1" applyBorder="1" applyAlignment="1">
      <alignment horizontal="right"/>
    </xf>
    <xf numFmtId="10" fontId="225" fillId="0" borderId="76" xfId="76" applyNumberFormat="1" applyFont="1" applyBorder="1"/>
    <xf numFmtId="3" fontId="224" fillId="0" borderId="70" xfId="76" applyNumberFormat="1" applyFont="1" applyBorder="1" applyAlignment="1">
      <alignment horizontal="left"/>
    </xf>
    <xf numFmtId="3" fontId="224" fillId="0" borderId="70" xfId="76" applyNumberFormat="1" applyFont="1" applyBorder="1" applyAlignment="1">
      <alignment horizontal="right"/>
    </xf>
    <xf numFmtId="3" fontId="224" fillId="0" borderId="77" xfId="76" applyNumberFormat="1" applyFont="1" applyBorder="1" applyAlignment="1">
      <alignment horizontal="left" vertical="center"/>
    </xf>
    <xf numFmtId="0" fontId="80" fillId="0" borderId="46" xfId="0" applyFont="1" applyBorder="1"/>
    <xf numFmtId="0" fontId="203" fillId="0" borderId="123" xfId="104" applyFont="1" applyBorder="1" applyAlignment="1">
      <alignment wrapText="1"/>
    </xf>
    <xf numFmtId="0" fontId="182" fillId="32" borderId="157" xfId="106" applyFont="1" applyFill="1" applyBorder="1" applyAlignment="1">
      <alignment wrapText="1"/>
    </xf>
    <xf numFmtId="3" fontId="193" fillId="32" borderId="158" xfId="106" applyNumberFormat="1" applyFont="1" applyFill="1" applyBorder="1"/>
    <xf numFmtId="0" fontId="90" fillId="0" borderId="0" xfId="0" applyFont="1" applyAlignment="1">
      <alignment horizontal="center"/>
    </xf>
    <xf numFmtId="0" fontId="66" fillId="0" borderId="0" xfId="88" applyFont="1" applyAlignment="1">
      <alignment horizontal="left" vertical="top" wrapText="1"/>
    </xf>
    <xf numFmtId="0" fontId="65" fillId="0" borderId="0" xfId="88" applyFont="1" applyAlignment="1">
      <alignment horizontal="left" vertical="top" wrapText="1"/>
    </xf>
    <xf numFmtId="3" fontId="163" fillId="0" borderId="0" xfId="0" applyNumberFormat="1" applyFont="1" applyAlignment="1">
      <alignment horizontal="center"/>
    </xf>
    <xf numFmtId="0" fontId="221" fillId="28" borderId="45" xfId="0" applyFont="1" applyFill="1" applyBorder="1" applyAlignment="1">
      <alignment horizontal="center"/>
    </xf>
    <xf numFmtId="3" fontId="221" fillId="0" borderId="17" xfId="0" applyNumberFormat="1" applyFont="1" applyBorder="1" applyAlignment="1">
      <alignment horizontal="left"/>
    </xf>
    <xf numFmtId="3" fontId="221" fillId="0" borderId="22" xfId="0" applyNumberFormat="1" applyFont="1" applyBorder="1" applyAlignment="1">
      <alignment horizontal="left"/>
    </xf>
    <xf numFmtId="3" fontId="221" fillId="0" borderId="124" xfId="0" applyNumberFormat="1" applyFont="1" applyBorder="1" applyAlignment="1">
      <alignment horizontal="left"/>
    </xf>
    <xf numFmtId="3" fontId="221" fillId="0" borderId="20" xfId="0" applyNumberFormat="1" applyFont="1" applyBorder="1" applyAlignment="1">
      <alignment horizontal="left"/>
    </xf>
    <xf numFmtId="3" fontId="221" fillId="0" borderId="121" xfId="0" applyNumberFormat="1" applyFont="1" applyBorder="1" applyAlignment="1">
      <alignment horizontal="left"/>
    </xf>
    <xf numFmtId="3" fontId="221" fillId="0" borderId="93" xfId="0" applyNumberFormat="1" applyFont="1" applyBorder="1" applyAlignment="1">
      <alignment horizontal="left"/>
    </xf>
    <xf numFmtId="3" fontId="220" fillId="0" borderId="20" xfId="0" applyNumberFormat="1" applyFont="1" applyBorder="1" applyAlignment="1">
      <alignment horizontal="left"/>
    </xf>
    <xf numFmtId="3" fontId="220" fillId="0" borderId="121" xfId="0" applyNumberFormat="1" applyFont="1" applyBorder="1" applyAlignment="1">
      <alignment horizontal="left"/>
    </xf>
    <xf numFmtId="0" fontId="220" fillId="0" borderId="20" xfId="0" applyFont="1" applyBorder="1" applyAlignment="1">
      <alignment horizontal="left"/>
    </xf>
    <xf numFmtId="0" fontId="220" fillId="0" borderId="93" xfId="0" applyFont="1" applyBorder="1" applyAlignment="1">
      <alignment horizontal="left"/>
    </xf>
    <xf numFmtId="0" fontId="220" fillId="0" borderId="121" xfId="0" applyFont="1" applyBorder="1" applyAlignment="1">
      <alignment horizontal="left"/>
    </xf>
    <xf numFmtId="0" fontId="219" fillId="0" borderId="40" xfId="77" applyFont="1" applyBorder="1" applyAlignment="1">
      <alignment horizontal="justify"/>
    </xf>
    <xf numFmtId="0" fontId="223" fillId="0" borderId="39" xfId="0" applyFont="1" applyBorder="1"/>
    <xf numFmtId="0" fontId="88" fillId="0" borderId="0" xfId="0" applyFont="1" applyAlignment="1">
      <alignment horizontal="left" wrapText="1"/>
    </xf>
    <xf numFmtId="0" fontId="88" fillId="0" borderId="86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88" fillId="0" borderId="104" xfId="0" applyFont="1" applyBorder="1" applyAlignment="1">
      <alignment wrapText="1"/>
    </xf>
    <xf numFmtId="0" fontId="88" fillId="0" borderId="129" xfId="0" applyFont="1" applyBorder="1" applyAlignment="1">
      <alignment wrapText="1"/>
    </xf>
    <xf numFmtId="0" fontId="80" fillId="28" borderId="77" xfId="0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0" fontId="85" fillId="0" borderId="37" xfId="0" applyFont="1" applyBorder="1" applyAlignment="1">
      <alignment horizontal="left" wrapText="1"/>
    </xf>
    <xf numFmtId="0" fontId="85" fillId="0" borderId="79" xfId="0" applyFont="1" applyBorder="1" applyAlignment="1">
      <alignment horizontal="left" wrapText="1"/>
    </xf>
    <xf numFmtId="0" fontId="85" fillId="0" borderId="66" xfId="0" applyFont="1" applyBorder="1" applyAlignment="1">
      <alignment horizontal="left" wrapText="1"/>
    </xf>
    <xf numFmtId="0" fontId="85" fillId="0" borderId="74" xfId="0" applyFont="1" applyBorder="1" applyAlignment="1">
      <alignment horizontal="left" wrapText="1"/>
    </xf>
    <xf numFmtId="0" fontId="85" fillId="0" borderId="37" xfId="0" applyFont="1" applyBorder="1" applyAlignment="1">
      <alignment wrapText="1"/>
    </xf>
    <xf numFmtId="0" fontId="85" fillId="0" borderId="79" xfId="0" applyFont="1" applyBorder="1" applyAlignment="1">
      <alignment wrapText="1"/>
    </xf>
    <xf numFmtId="0" fontId="85" fillId="0" borderId="37" xfId="0" applyFont="1" applyBorder="1"/>
    <xf numFmtId="0" fontId="85" fillId="0" borderId="79" xfId="0" applyFont="1" applyBorder="1"/>
    <xf numFmtId="0" fontId="85" fillId="0" borderId="37" xfId="77" applyFont="1" applyBorder="1" applyAlignment="1">
      <alignment horizontal="left"/>
    </xf>
    <xf numFmtId="0" fontId="86" fillId="0" borderId="0" xfId="77" applyFont="1" applyAlignment="1">
      <alignment horizontal="left" wrapText="1"/>
    </xf>
    <xf numFmtId="0" fontId="86" fillId="0" borderId="86" xfId="77" applyFont="1" applyBorder="1" applyAlignment="1">
      <alignment horizontal="left" wrapText="1"/>
    </xf>
    <xf numFmtId="0" fontId="85" fillId="0" borderId="37" xfId="77" applyFont="1" applyBorder="1" applyAlignment="1">
      <alignment horizontal="left" wrapText="1"/>
    </xf>
    <xf numFmtId="0" fontId="85" fillId="0" borderId="79" xfId="77" applyFont="1" applyBorder="1" applyAlignment="1">
      <alignment horizontal="left" wrapText="1"/>
    </xf>
    <xf numFmtId="3" fontId="224" fillId="0" borderId="23" xfId="76" applyNumberFormat="1" applyFont="1" applyBorder="1" applyAlignment="1">
      <alignment horizontal="center" vertical="center"/>
    </xf>
    <xf numFmtId="3" fontId="224" fillId="0" borderId="46" xfId="76" applyNumberFormat="1" applyFont="1" applyBorder="1" applyAlignment="1">
      <alignment horizontal="center" vertical="center"/>
    </xf>
    <xf numFmtId="3" fontId="224" fillId="0" borderId="53" xfId="76" applyNumberFormat="1" applyFont="1" applyBorder="1" applyAlignment="1">
      <alignment horizontal="center" vertical="center"/>
    </xf>
    <xf numFmtId="3" fontId="224" fillId="0" borderId="19" xfId="76" applyNumberFormat="1" applyFont="1" applyBorder="1" applyAlignment="1">
      <alignment horizontal="center" vertical="center"/>
    </xf>
    <xf numFmtId="3" fontId="224" fillId="0" borderId="16" xfId="76" applyNumberFormat="1" applyFont="1" applyBorder="1" applyAlignment="1">
      <alignment horizontal="center" vertical="center"/>
    </xf>
    <xf numFmtId="3" fontId="224" fillId="0" borderId="84" xfId="76" applyNumberFormat="1" applyFont="1" applyBorder="1" applyAlignment="1">
      <alignment horizontal="center" vertical="center"/>
    </xf>
    <xf numFmtId="0" fontId="143" fillId="0" borderId="0" xfId="76" applyFont="1" applyAlignment="1">
      <alignment horizontal="center"/>
    </xf>
    <xf numFmtId="3" fontId="143" fillId="0" borderId="0" xfId="76" applyNumberFormat="1" applyFont="1" applyAlignment="1">
      <alignment horizontal="center"/>
    </xf>
    <xf numFmtId="0" fontId="143" fillId="30" borderId="0" xfId="76" applyFont="1" applyFill="1" applyAlignment="1">
      <alignment horizontal="center"/>
    </xf>
    <xf numFmtId="3" fontId="224" fillId="0" borderId="23" xfId="76" applyNumberFormat="1" applyFont="1" applyBorder="1" applyAlignment="1">
      <alignment horizontal="center" vertical="center" wrapText="1"/>
    </xf>
    <xf numFmtId="3" fontId="224" fillId="0" borderId="46" xfId="76" applyNumberFormat="1" applyFont="1" applyBorder="1" applyAlignment="1">
      <alignment horizontal="center" vertical="center" wrapText="1"/>
    </xf>
    <xf numFmtId="3" fontId="224" fillId="0" borderId="53" xfId="76" applyNumberFormat="1" applyFont="1" applyBorder="1" applyAlignment="1">
      <alignment horizontal="center" vertical="center" wrapText="1"/>
    </xf>
    <xf numFmtId="3" fontId="224" fillId="0" borderId="19" xfId="76" applyNumberFormat="1" applyFont="1" applyBorder="1" applyAlignment="1">
      <alignment horizontal="center" vertical="center" wrapText="1"/>
    </xf>
    <xf numFmtId="3" fontId="224" fillId="0" borderId="16" xfId="76" applyNumberFormat="1" applyFont="1" applyBorder="1" applyAlignment="1">
      <alignment horizontal="center" vertical="center" wrapText="1"/>
    </xf>
    <xf numFmtId="3" fontId="224" fillId="0" borderId="84" xfId="76" applyNumberFormat="1" applyFont="1" applyBorder="1" applyAlignment="1">
      <alignment horizontal="center" vertical="center" wrapText="1"/>
    </xf>
    <xf numFmtId="3" fontId="224" fillId="0" borderId="20" xfId="76" applyNumberFormat="1" applyFont="1" applyBorder="1" applyAlignment="1">
      <alignment horizontal="center" vertical="center"/>
    </xf>
    <xf numFmtId="3" fontId="224" fillId="0" borderId="93" xfId="76" applyNumberFormat="1" applyFont="1" applyBorder="1" applyAlignment="1">
      <alignment horizontal="center" vertical="center"/>
    </xf>
    <xf numFmtId="3" fontId="224" fillId="0" borderId="81" xfId="76" applyNumberFormat="1" applyFont="1" applyBorder="1" applyAlignment="1">
      <alignment horizontal="center" vertical="center"/>
    </xf>
    <xf numFmtId="3" fontId="224" fillId="0" borderId="23" xfId="76" applyNumberFormat="1" applyFont="1" applyBorder="1" applyAlignment="1">
      <alignment horizontal="center" wrapText="1"/>
    </xf>
    <xf numFmtId="3" fontId="224" fillId="0" borderId="46" xfId="76" applyNumberFormat="1" applyFont="1" applyBorder="1" applyAlignment="1">
      <alignment horizontal="center" wrapText="1"/>
    </xf>
    <xf numFmtId="3" fontId="224" fillId="0" borderId="53" xfId="76" applyNumberFormat="1" applyFont="1" applyBorder="1" applyAlignment="1">
      <alignment horizontal="center" wrapText="1"/>
    </xf>
    <xf numFmtId="3" fontId="224" fillId="0" borderId="19" xfId="76" applyNumberFormat="1" applyFont="1" applyBorder="1" applyAlignment="1">
      <alignment horizontal="center" wrapText="1"/>
    </xf>
    <xf numFmtId="3" fontId="224" fillId="0" borderId="16" xfId="76" applyNumberFormat="1" applyFont="1" applyBorder="1" applyAlignment="1">
      <alignment horizontal="center" wrapText="1"/>
    </xf>
    <xf numFmtId="3" fontId="224" fillId="0" borderId="84" xfId="76" applyNumberFormat="1" applyFont="1" applyBorder="1" applyAlignment="1">
      <alignment horizontal="center" wrapText="1"/>
    </xf>
    <xf numFmtId="0" fontId="198" fillId="0" borderId="0" xfId="105" applyFont="1" applyAlignment="1">
      <alignment horizontal="center" wrapText="1"/>
    </xf>
    <xf numFmtId="3" fontId="140" fillId="0" borderId="23" xfId="76" applyNumberFormat="1" applyFont="1" applyBorder="1" applyAlignment="1">
      <alignment horizontal="center" vertical="center"/>
    </xf>
    <xf numFmtId="3" fontId="140" fillId="0" borderId="46" xfId="76" applyNumberFormat="1" applyFont="1" applyBorder="1" applyAlignment="1">
      <alignment horizontal="center" vertical="center"/>
    </xf>
    <xf numFmtId="3" fontId="140" fillId="0" borderId="53" xfId="76" applyNumberFormat="1" applyFont="1" applyBorder="1" applyAlignment="1">
      <alignment horizontal="center" vertical="center"/>
    </xf>
    <xf numFmtId="3" fontId="140" fillId="0" borderId="18" xfId="76" applyNumberFormat="1" applyFont="1" applyBorder="1" applyAlignment="1">
      <alignment horizontal="center" vertical="center"/>
    </xf>
    <xf numFmtId="3" fontId="140" fillId="0" borderId="0" xfId="76" applyNumberFormat="1" applyFont="1" applyAlignment="1">
      <alignment horizontal="center" vertical="center"/>
    </xf>
    <xf numFmtId="3" fontId="140" fillId="0" borderId="86" xfId="76" applyNumberFormat="1" applyFont="1" applyBorder="1" applyAlignment="1">
      <alignment horizontal="center" vertical="center"/>
    </xf>
    <xf numFmtId="3" fontId="140" fillId="0" borderId="19" xfId="76" applyNumberFormat="1" applyFont="1" applyBorder="1" applyAlignment="1">
      <alignment horizontal="center" vertical="center"/>
    </xf>
    <xf numFmtId="3" fontId="140" fillId="0" borderId="16" xfId="76" applyNumberFormat="1" applyFont="1" applyBorder="1" applyAlignment="1">
      <alignment horizontal="center" vertical="center"/>
    </xf>
    <xf numFmtId="3" fontId="140" fillId="0" borderId="84" xfId="76" applyNumberFormat="1" applyFont="1" applyBorder="1" applyAlignment="1">
      <alignment horizontal="center" vertical="center"/>
    </xf>
    <xf numFmtId="3" fontId="140" fillId="0" borderId="23" xfId="76" applyNumberFormat="1" applyFont="1" applyBorder="1" applyAlignment="1">
      <alignment horizontal="center" vertical="center" wrapText="1"/>
    </xf>
    <xf numFmtId="3" fontId="140" fillId="0" borderId="46" xfId="76" applyNumberFormat="1" applyFont="1" applyBorder="1" applyAlignment="1">
      <alignment horizontal="center" vertical="center" wrapText="1"/>
    </xf>
    <xf numFmtId="3" fontId="140" fillId="0" borderId="53" xfId="76" applyNumberFormat="1" applyFont="1" applyBorder="1" applyAlignment="1">
      <alignment horizontal="center" vertical="center" wrapText="1"/>
    </xf>
    <xf numFmtId="3" fontId="140" fillId="0" borderId="18" xfId="76" applyNumberFormat="1" applyFont="1" applyBorder="1" applyAlignment="1">
      <alignment horizontal="center" vertical="center" wrapText="1"/>
    </xf>
    <xf numFmtId="3" fontId="140" fillId="0" borderId="0" xfId="76" applyNumberFormat="1" applyFont="1" applyAlignment="1">
      <alignment horizontal="center" vertical="center" wrapText="1"/>
    </xf>
    <xf numFmtId="3" fontId="140" fillId="0" borderId="86" xfId="76" applyNumberFormat="1" applyFont="1" applyBorder="1" applyAlignment="1">
      <alignment horizontal="center" vertical="center" wrapText="1"/>
    </xf>
    <xf numFmtId="3" fontId="140" fillId="0" borderId="19" xfId="76" applyNumberFormat="1" applyFont="1" applyBorder="1" applyAlignment="1">
      <alignment horizontal="center" vertical="center" wrapText="1"/>
    </xf>
    <xf numFmtId="3" fontId="140" fillId="0" borderId="16" xfId="76" applyNumberFormat="1" applyFont="1" applyBorder="1" applyAlignment="1">
      <alignment horizontal="center" vertical="center" wrapText="1"/>
    </xf>
    <xf numFmtId="3" fontId="140" fillId="0" borderId="84" xfId="76" applyNumberFormat="1" applyFont="1" applyBorder="1" applyAlignment="1">
      <alignment horizontal="center" vertical="center" wrapText="1"/>
    </xf>
    <xf numFmtId="4" fontId="160" fillId="0" borderId="20" xfId="101" applyNumberFormat="1" applyFont="1" applyBorder="1" applyAlignment="1">
      <alignment horizontal="center"/>
    </xf>
    <xf numFmtId="4" fontId="160" fillId="0" borderId="81" xfId="101" applyNumberFormat="1" applyFont="1" applyBorder="1" applyAlignment="1">
      <alignment horizontal="center"/>
    </xf>
    <xf numFmtId="0" fontId="140" fillId="0" borderId="0" xfId="101" applyFont="1" applyAlignment="1">
      <alignment horizontal="center"/>
    </xf>
    <xf numFmtId="0" fontId="163" fillId="0" borderId="16" xfId="101" applyFont="1" applyBorder="1" applyAlignment="1">
      <alignment horizontal="center"/>
    </xf>
    <xf numFmtId="0" fontId="164" fillId="28" borderId="20" xfId="101" applyFont="1" applyFill="1" applyBorder="1" applyAlignment="1">
      <alignment horizontal="center" vertical="center"/>
    </xf>
    <xf numFmtId="0" fontId="164" fillId="28" borderId="93" xfId="101" applyFont="1" applyFill="1" applyBorder="1" applyAlignment="1">
      <alignment horizontal="center" vertical="center"/>
    </xf>
    <xf numFmtId="0" fontId="164" fillId="28" borderId="81" xfId="101" applyFont="1" applyFill="1" applyBorder="1" applyAlignment="1">
      <alignment horizontal="center" vertical="center"/>
    </xf>
    <xf numFmtId="0" fontId="160" fillId="0" borderId="23" xfId="101" applyFont="1" applyBorder="1" applyAlignment="1">
      <alignment horizontal="center" vertical="center" wrapText="1"/>
    </xf>
    <xf numFmtId="0" fontId="160" fillId="0" borderId="53" xfId="101" applyFont="1" applyBorder="1" applyAlignment="1">
      <alignment horizontal="center" vertical="center" wrapText="1"/>
    </xf>
    <xf numFmtId="0" fontId="160" fillId="0" borderId="19" xfId="101" applyFont="1" applyBorder="1" applyAlignment="1">
      <alignment horizontal="center" vertical="center" wrapText="1"/>
    </xf>
    <xf numFmtId="0" fontId="160" fillId="0" borderId="84" xfId="101" applyFont="1" applyBorder="1" applyAlignment="1">
      <alignment horizontal="center" vertical="center" wrapText="1"/>
    </xf>
    <xf numFmtId="4" fontId="160" fillId="0" borderId="19" xfId="101" applyNumberFormat="1" applyFont="1" applyBorder="1" applyAlignment="1">
      <alignment horizontal="center"/>
    </xf>
    <xf numFmtId="4" fontId="160" fillId="0" borderId="16" xfId="101" applyNumberFormat="1" applyFont="1" applyBorder="1" applyAlignment="1">
      <alignment horizontal="center"/>
    </xf>
    <xf numFmtId="4" fontId="160" fillId="0" borderId="93" xfId="101" applyNumberFormat="1" applyFont="1" applyBorder="1" applyAlignment="1">
      <alignment horizontal="center"/>
    </xf>
    <xf numFmtId="0" fontId="71" fillId="0" borderId="0" xfId="0" applyFont="1" applyAlignment="1">
      <alignment horizontal="center"/>
    </xf>
    <xf numFmtId="0" fontId="80" fillId="28" borderId="125" xfId="0" applyFont="1" applyFill="1" applyBorder="1" applyAlignment="1">
      <alignment horizontal="center"/>
    </xf>
    <xf numFmtId="0" fontId="80" fillId="28" borderId="126" xfId="0" applyFont="1" applyFill="1" applyBorder="1" applyAlignment="1">
      <alignment horizontal="center"/>
    </xf>
    <xf numFmtId="0" fontId="80" fillId="28" borderId="137" xfId="0" applyFont="1" applyFill="1" applyBorder="1" applyAlignment="1">
      <alignment horizontal="center"/>
    </xf>
    <xf numFmtId="0" fontId="81" fillId="0" borderId="0" xfId="0" applyFont="1" applyAlignment="1">
      <alignment horizontal="center"/>
    </xf>
    <xf numFmtId="3" fontId="71" fillId="0" borderId="0" xfId="0" applyNumberFormat="1" applyFont="1" applyAlignment="1">
      <alignment horizontal="center"/>
    </xf>
    <xf numFmtId="3" fontId="8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6" fillId="0" borderId="20" xfId="0" applyFont="1" applyBorder="1" applyAlignment="1">
      <alignment horizontal="left" wrapText="1"/>
    </xf>
    <xf numFmtId="0" fontId="86" fillId="0" borderId="93" xfId="0" applyFont="1" applyBorder="1" applyAlignment="1">
      <alignment horizontal="left" wrapText="1"/>
    </xf>
    <xf numFmtId="0" fontId="86" fillId="0" borderId="121" xfId="0" applyFont="1" applyBorder="1" applyAlignment="1">
      <alignment horizontal="left" wrapText="1"/>
    </xf>
    <xf numFmtId="0" fontId="86" fillId="0" borderId="20" xfId="0" applyFont="1" applyBorder="1" applyAlignment="1">
      <alignment horizontal="left"/>
    </xf>
    <xf numFmtId="0" fontId="86" fillId="0" borderId="93" xfId="0" applyFont="1" applyBorder="1" applyAlignment="1">
      <alignment horizontal="left"/>
    </xf>
    <xf numFmtId="0" fontId="86" fillId="0" borderId="121" xfId="0" applyFont="1" applyBorder="1" applyAlignment="1">
      <alignment horizontal="left"/>
    </xf>
    <xf numFmtId="0" fontId="80" fillId="0" borderId="23" xfId="0" applyFont="1" applyBorder="1" applyAlignment="1">
      <alignment horizontal="center"/>
    </xf>
    <xf numFmtId="0" fontId="80" fillId="0" borderId="46" xfId="0" applyFont="1" applyBorder="1" applyAlignment="1">
      <alignment horizontal="center"/>
    </xf>
    <xf numFmtId="0" fontId="81" fillId="0" borderId="0" xfId="77" applyFont="1" applyAlignment="1">
      <alignment horizontal="center"/>
    </xf>
    <xf numFmtId="0" fontId="86" fillId="0" borderId="26" xfId="77" applyFont="1" applyBorder="1" applyAlignment="1">
      <alignment horizontal="left"/>
    </xf>
    <xf numFmtId="0" fontId="86" fillId="0" borderId="88" xfId="77" applyFont="1" applyBorder="1" applyAlignment="1">
      <alignment horizontal="left"/>
    </xf>
    <xf numFmtId="0" fontId="7" fillId="0" borderId="0" xfId="77" applyFont="1" applyAlignment="1">
      <alignment horizontal="center"/>
    </xf>
    <xf numFmtId="0" fontId="7" fillId="28" borderId="0" xfId="0" applyFont="1" applyFill="1" applyAlignment="1">
      <alignment horizontal="center"/>
    </xf>
    <xf numFmtId="0" fontId="86" fillId="0" borderId="17" xfId="77" applyFont="1" applyBorder="1" applyAlignment="1">
      <alignment horizontal="left"/>
    </xf>
    <xf numFmtId="0" fontId="86" fillId="0" borderId="80" xfId="77" applyFont="1" applyBorder="1" applyAlignment="1">
      <alignment horizontal="left"/>
    </xf>
    <xf numFmtId="0" fontId="71" fillId="0" borderId="0" xfId="77" applyFont="1" applyAlignment="1">
      <alignment horizontal="center"/>
    </xf>
    <xf numFmtId="0" fontId="80" fillId="0" borderId="23" xfId="77" applyFont="1" applyBorder="1" applyAlignment="1">
      <alignment horizontal="center"/>
    </xf>
    <xf numFmtId="0" fontId="80" fillId="0" borderId="46" xfId="77" applyFont="1" applyBorder="1" applyAlignment="1">
      <alignment horizontal="center"/>
    </xf>
    <xf numFmtId="0" fontId="80" fillId="0" borderId="0" xfId="77" applyFont="1" applyAlignment="1">
      <alignment horizontal="center"/>
    </xf>
    <xf numFmtId="0" fontId="80" fillId="0" borderId="0" xfId="78" applyFont="1" applyAlignment="1">
      <alignment horizontal="center"/>
    </xf>
    <xf numFmtId="0" fontId="90" fillId="0" borderId="0" xfId="91" applyFont="1" applyAlignment="1">
      <alignment horizontal="center"/>
    </xf>
    <xf numFmtId="0" fontId="86" fillId="0" borderId="23" xfId="77" applyFont="1" applyBorder="1" applyAlignment="1">
      <alignment horizontal="center"/>
    </xf>
    <xf numFmtId="0" fontId="86" fillId="0" borderId="46" xfId="77" applyFont="1" applyBorder="1" applyAlignment="1">
      <alignment horizontal="center"/>
    </xf>
    <xf numFmtId="0" fontId="78" fillId="0" borderId="18" xfId="92" applyFont="1" applyBorder="1" applyAlignment="1">
      <alignment wrapText="1"/>
    </xf>
    <xf numFmtId="0" fontId="78" fillId="0" borderId="86" xfId="0" applyFont="1" applyBorder="1" applyAlignment="1">
      <alignment wrapText="1"/>
    </xf>
    <xf numFmtId="0" fontId="105" fillId="0" borderId="26" xfId="92" applyFont="1" applyBorder="1" applyAlignment="1">
      <alignment wrapText="1"/>
    </xf>
    <xf numFmtId="0" fontId="78" fillId="0" borderId="88" xfId="0" applyFont="1" applyBorder="1"/>
    <xf numFmtId="0" fontId="78" fillId="0" borderId="88" xfId="0" applyFont="1" applyBorder="1" applyAlignment="1">
      <alignment wrapText="1"/>
    </xf>
    <xf numFmtId="0" fontId="117" fillId="0" borderId="20" xfId="92" applyFont="1" applyBorder="1" applyAlignment="1">
      <alignment wrapText="1"/>
    </xf>
    <xf numFmtId="0" fontId="78" fillId="0" borderId="81" xfId="0" applyFont="1" applyBorder="1" applyAlignment="1">
      <alignment wrapText="1"/>
    </xf>
    <xf numFmtId="0" fontId="90" fillId="0" borderId="0" xfId="92" applyFont="1" applyAlignment="1">
      <alignment horizontal="center"/>
    </xf>
    <xf numFmtId="0" fontId="91" fillId="0" borderId="0" xfId="0" applyFont="1"/>
    <xf numFmtId="0" fontId="105" fillId="0" borderId="23" xfId="92" applyFont="1" applyBorder="1" applyAlignment="1">
      <alignment horizontal="center"/>
    </xf>
    <xf numFmtId="0" fontId="78" fillId="0" borderId="53" xfId="0" applyFont="1" applyBorder="1" applyAlignment="1">
      <alignment horizontal="center"/>
    </xf>
    <xf numFmtId="0" fontId="105" fillId="0" borderId="17" xfId="92" applyFont="1" applyBorder="1" applyAlignment="1">
      <alignment wrapText="1"/>
    </xf>
    <xf numFmtId="0" fontId="78" fillId="0" borderId="80" xfId="0" applyFont="1" applyBorder="1"/>
    <xf numFmtId="0" fontId="117" fillId="0" borderId="18" xfId="92" applyFont="1" applyBorder="1" applyAlignment="1">
      <alignment wrapText="1"/>
    </xf>
    <xf numFmtId="0" fontId="82" fillId="0" borderId="16" xfId="93" applyFont="1" applyBorder="1" applyAlignment="1">
      <alignment horizontal="center"/>
    </xf>
    <xf numFmtId="0" fontId="80" fillId="0" borderId="0" xfId="93" applyFont="1" applyAlignment="1">
      <alignment horizontal="center"/>
    </xf>
    <xf numFmtId="0" fontId="79" fillId="0" borderId="0" xfId="93" applyFont="1" applyAlignment="1">
      <alignment horizontal="center"/>
    </xf>
    <xf numFmtId="0" fontId="82" fillId="0" borderId="0" xfId="93" applyFont="1" applyAlignment="1">
      <alignment horizontal="center"/>
    </xf>
    <xf numFmtId="0" fontId="91" fillId="0" borderId="24" xfId="94" applyFont="1" applyBorder="1" applyAlignment="1">
      <alignment wrapText="1"/>
    </xf>
    <xf numFmtId="0" fontId="91" fillId="0" borderId="24" xfId="0" applyFont="1" applyBorder="1"/>
    <xf numFmtId="0" fontId="91" fillId="0" borderId="134" xfId="0" applyFont="1" applyBorder="1"/>
    <xf numFmtId="0" fontId="90" fillId="0" borderId="0" xfId="94" applyFont="1" applyAlignment="1">
      <alignment horizontal="center"/>
    </xf>
    <xf numFmtId="0" fontId="90" fillId="0" borderId="18" xfId="94" applyFont="1" applyBorder="1" applyAlignment="1">
      <alignment horizontal="center"/>
    </xf>
    <xf numFmtId="0" fontId="90" fillId="0" borderId="146" xfId="0" applyFont="1" applyBorder="1" applyAlignment="1">
      <alignment horizontal="center"/>
    </xf>
    <xf numFmtId="0" fontId="90" fillId="0" borderId="100" xfId="0" applyFont="1" applyBorder="1" applyAlignment="1">
      <alignment horizontal="center"/>
    </xf>
    <xf numFmtId="49" fontId="72" fillId="0" borderId="57" xfId="95" applyNumberFormat="1" applyFont="1" applyBorder="1" applyAlignment="1">
      <alignment horizontal="center"/>
    </xf>
    <xf numFmtId="49" fontId="72" fillId="0" borderId="104" xfId="95" applyNumberFormat="1" applyFont="1" applyBorder="1" applyAlignment="1">
      <alignment horizontal="center"/>
    </xf>
    <xf numFmtId="49" fontId="72" fillId="0" borderId="26" xfId="95" applyNumberFormat="1" applyFont="1" applyBorder="1" applyAlignment="1">
      <alignment horizontal="center"/>
    </xf>
    <xf numFmtId="49" fontId="72" fillId="0" borderId="134" xfId="95" applyNumberFormat="1" applyFont="1" applyBorder="1" applyAlignment="1">
      <alignment horizontal="center"/>
    </xf>
    <xf numFmtId="0" fontId="72" fillId="0" borderId="19" xfId="95" applyFont="1" applyBorder="1" applyAlignment="1">
      <alignment horizontal="center"/>
    </xf>
    <xf numFmtId="0" fontId="72" fillId="0" borderId="16" xfId="95" applyFont="1" applyBorder="1" applyAlignment="1">
      <alignment horizontal="center"/>
    </xf>
    <xf numFmtId="0" fontId="72" fillId="0" borderId="24" xfId="95" applyFont="1" applyBorder="1" applyAlignment="1">
      <alignment horizontal="left"/>
    </xf>
    <xf numFmtId="0" fontId="72" fillId="0" borderId="134" xfId="95" applyFont="1" applyBorder="1" applyAlignment="1">
      <alignment horizontal="left"/>
    </xf>
    <xf numFmtId="49" fontId="72" fillId="0" borderId="98" xfId="95" applyNumberFormat="1" applyFont="1" applyBorder="1" applyAlignment="1">
      <alignment horizontal="center"/>
    </xf>
    <xf numFmtId="49" fontId="72" fillId="0" borderId="91" xfId="95" applyNumberFormat="1" applyFont="1" applyBorder="1" applyAlignment="1">
      <alignment horizontal="center"/>
    </xf>
    <xf numFmtId="49" fontId="72" fillId="0" borderId="17" xfId="95" applyNumberFormat="1" applyFont="1" applyBorder="1" applyAlignment="1">
      <alignment horizontal="center"/>
    </xf>
    <xf numFmtId="49" fontId="72" fillId="0" borderId="124" xfId="95" applyNumberFormat="1" applyFont="1" applyBorder="1" applyAlignment="1">
      <alignment horizontal="center"/>
    </xf>
    <xf numFmtId="0" fontId="72" fillId="0" borderId="22" xfId="95" applyFont="1" applyBorder="1" applyAlignment="1">
      <alignment horizontal="left"/>
    </xf>
    <xf numFmtId="0" fontId="72" fillId="0" borderId="124" xfId="95" applyFont="1" applyBorder="1" applyAlignment="1">
      <alignment horizontal="left"/>
    </xf>
    <xf numFmtId="49" fontId="72" fillId="0" borderId="117" xfId="95" applyNumberFormat="1" applyFont="1" applyBorder="1" applyAlignment="1">
      <alignment horizontal="center"/>
    </xf>
    <xf numFmtId="49" fontId="72" fillId="0" borderId="118" xfId="95" applyNumberFormat="1" applyFont="1" applyBorder="1" applyAlignment="1">
      <alignment horizontal="center"/>
    </xf>
    <xf numFmtId="49" fontId="72" fillId="0" borderId="145" xfId="95" applyNumberFormat="1" applyFont="1" applyBorder="1" applyAlignment="1">
      <alignment horizontal="center"/>
    </xf>
    <xf numFmtId="0" fontId="72" fillId="0" borderId="91" xfId="95" applyFont="1" applyBorder="1" applyAlignment="1">
      <alignment horizontal="left"/>
    </xf>
    <xf numFmtId="0" fontId="72" fillId="0" borderId="145" xfId="95" applyFont="1" applyBorder="1" applyAlignment="1">
      <alignment horizontal="left"/>
    </xf>
    <xf numFmtId="49" fontId="72" fillId="0" borderId="139" xfId="95" applyNumberFormat="1" applyFont="1" applyBorder="1" applyAlignment="1">
      <alignment horizontal="center"/>
    </xf>
    <xf numFmtId="0" fontId="71" fillId="0" borderId="0" xfId="95" applyFont="1" applyAlignment="1">
      <alignment horizontal="center"/>
    </xf>
    <xf numFmtId="0" fontId="128" fillId="0" borderId="0" xfId="95" applyFont="1" applyAlignment="1">
      <alignment horizontal="left"/>
    </xf>
    <xf numFmtId="0" fontId="72" fillId="0" borderId="23" xfId="95" applyFont="1" applyBorder="1" applyAlignment="1">
      <alignment horizontal="center" vertical="center"/>
    </xf>
    <xf numFmtId="0" fontId="72" fillId="0" borderId="63" xfId="95" applyFont="1" applyBorder="1" applyAlignment="1">
      <alignment horizontal="center" vertical="center"/>
    </xf>
    <xf numFmtId="0" fontId="72" fillId="0" borderId="18" xfId="95" applyFont="1" applyBorder="1" applyAlignment="1">
      <alignment horizontal="center" vertical="center"/>
    </xf>
    <xf numFmtId="0" fontId="72" fillId="0" borderId="31" xfId="95" applyFont="1" applyBorder="1" applyAlignment="1">
      <alignment horizontal="center" vertical="center"/>
    </xf>
    <xf numFmtId="0" fontId="72" fillId="0" borderId="19" xfId="95" applyFont="1" applyBorder="1" applyAlignment="1">
      <alignment horizontal="center" vertical="center"/>
    </xf>
    <xf numFmtId="0" fontId="72" fillId="0" borderId="99" xfId="95" applyFont="1" applyBorder="1" applyAlignment="1">
      <alignment horizontal="center" vertical="center"/>
    </xf>
    <xf numFmtId="0" fontId="72" fillId="0" borderId="47" xfId="95" applyFont="1" applyBorder="1" applyAlignment="1">
      <alignment horizontal="center" vertical="center"/>
    </xf>
    <xf numFmtId="0" fontId="72" fillId="0" borderId="29" xfId="95" applyFont="1" applyBorder="1" applyAlignment="1">
      <alignment horizontal="center" vertical="center"/>
    </xf>
    <xf numFmtId="0" fontId="72" fillId="0" borderId="33" xfId="95" applyFont="1" applyBorder="1" applyAlignment="1">
      <alignment horizontal="center" vertical="center"/>
    </xf>
    <xf numFmtId="0" fontId="72" fillId="0" borderId="143" xfId="95" applyFont="1" applyBorder="1" applyAlignment="1">
      <alignment horizontal="center"/>
    </xf>
    <xf numFmtId="0" fontId="72" fillId="0" borderId="131" xfId="95" applyFont="1" applyBorder="1" applyAlignment="1">
      <alignment horizontal="center"/>
    </xf>
    <xf numFmtId="0" fontId="72" fillId="0" borderId="142" xfId="95" applyFont="1" applyBorder="1" applyAlignment="1">
      <alignment horizontal="center"/>
    </xf>
    <xf numFmtId="0" fontId="72" fillId="0" borderId="49" xfId="95" applyFont="1" applyBorder="1" applyAlignment="1">
      <alignment horizontal="center"/>
    </xf>
    <xf numFmtId="0" fontId="72" fillId="0" borderId="24" xfId="95" applyFont="1" applyBorder="1" applyAlignment="1">
      <alignment horizontal="center"/>
    </xf>
    <xf numFmtId="0" fontId="72" fillId="0" borderId="134" xfId="95" applyFont="1" applyBorder="1" applyAlignment="1">
      <alignment horizontal="center"/>
    </xf>
    <xf numFmtId="0" fontId="72" fillId="0" borderId="88" xfId="95" applyFont="1" applyBorder="1" applyAlignment="1">
      <alignment horizontal="center"/>
    </xf>
    <xf numFmtId="0" fontId="72" fillId="0" borderId="55" xfId="95" applyFont="1" applyBorder="1" applyAlignment="1">
      <alignment horizontal="center" vertical="center"/>
    </xf>
    <xf numFmtId="0" fontId="72" fillId="0" borderId="101" xfId="95" applyFont="1" applyBorder="1" applyAlignment="1">
      <alignment horizontal="center" vertical="center"/>
    </xf>
    <xf numFmtId="0" fontId="72" fillId="0" borderId="82" xfId="95" applyFont="1" applyBorder="1" applyAlignment="1">
      <alignment horizontal="center" vertical="center"/>
    </xf>
    <xf numFmtId="0" fontId="72" fillId="0" borderId="139" xfId="95" applyFont="1" applyBorder="1" applyAlignment="1">
      <alignment horizontal="center" vertical="center"/>
    </xf>
    <xf numFmtId="0" fontId="72" fillId="0" borderId="146" xfId="95" applyFont="1" applyBorder="1" applyAlignment="1">
      <alignment horizontal="center" vertical="center"/>
    </xf>
    <xf numFmtId="0" fontId="72" fillId="0" borderId="145" xfId="95" applyFont="1" applyBorder="1" applyAlignment="1">
      <alignment horizontal="center" vertical="center"/>
    </xf>
    <xf numFmtId="0" fontId="72" fillId="0" borderId="82" xfId="95" applyFont="1" applyBorder="1" applyAlignment="1">
      <alignment horizontal="center"/>
    </xf>
    <xf numFmtId="0" fontId="72" fillId="0" borderId="139" xfId="95" applyFont="1" applyBorder="1" applyAlignment="1">
      <alignment horizontal="center"/>
    </xf>
    <xf numFmtId="0" fontId="72" fillId="0" borderId="129" xfId="95" applyFont="1" applyBorder="1" applyAlignment="1">
      <alignment horizontal="center" vertical="center"/>
    </xf>
    <xf numFmtId="0" fontId="72" fillId="0" borderId="100" xfId="95" applyFont="1" applyBorder="1" applyAlignment="1">
      <alignment horizontal="center" vertical="center"/>
    </xf>
    <xf numFmtId="0" fontId="72" fillId="0" borderId="146" xfId="95" applyFont="1" applyBorder="1" applyAlignment="1">
      <alignment horizontal="center"/>
    </xf>
    <xf numFmtId="0" fontId="72" fillId="0" borderId="145" xfId="95" applyFont="1" applyBorder="1" applyAlignment="1">
      <alignment horizontal="center"/>
    </xf>
    <xf numFmtId="0" fontId="214" fillId="30" borderId="37" xfId="0" applyFont="1" applyFill="1" applyBorder="1" applyAlignment="1">
      <alignment wrapText="1"/>
    </xf>
    <xf numFmtId="0" fontId="214" fillId="30" borderId="39" xfId="0" applyFont="1" applyFill="1" applyBorder="1"/>
    <xf numFmtId="3" fontId="90" fillId="0" borderId="0" xfId="96" applyNumberFormat="1" applyFont="1" applyAlignment="1">
      <alignment horizontal="center"/>
    </xf>
    <xf numFmtId="3" fontId="216" fillId="0" borderId="93" xfId="96" applyNumberFormat="1" applyFont="1" applyBorder="1" applyAlignment="1">
      <alignment horizontal="center"/>
    </xf>
    <xf numFmtId="3" fontId="216" fillId="0" borderId="81" xfId="96" applyNumberFormat="1" applyFont="1" applyBorder="1" applyAlignment="1">
      <alignment horizontal="center"/>
    </xf>
    <xf numFmtId="3" fontId="214" fillId="0" borderId="37" xfId="96" applyNumberFormat="1" applyFont="1" applyBorder="1" applyAlignment="1">
      <alignment horizontal="left" wrapText="1"/>
    </xf>
    <xf numFmtId="3" fontId="214" fillId="0" borderId="39" xfId="96" applyNumberFormat="1" applyFont="1" applyBorder="1" applyAlignment="1">
      <alignment horizontal="left" wrapText="1"/>
    </xf>
    <xf numFmtId="0" fontId="71" fillId="0" borderId="0" xfId="98" applyFont="1" applyAlignment="1">
      <alignment horizontal="center"/>
    </xf>
    <xf numFmtId="0" fontId="71" fillId="0" borderId="23" xfId="98" applyFont="1" applyBorder="1" applyAlignment="1">
      <alignment horizontal="center" vertical="center"/>
    </xf>
    <xf numFmtId="0" fontId="85" fillId="0" borderId="46" xfId="98" applyFont="1" applyBorder="1" applyAlignment="1">
      <alignment horizontal="center" vertical="center"/>
    </xf>
    <xf numFmtId="0" fontId="85" fillId="0" borderId="63" xfId="98" applyFont="1" applyBorder="1" applyAlignment="1">
      <alignment horizontal="center" vertical="center"/>
    </xf>
    <xf numFmtId="0" fontId="71" fillId="0" borderId="18" xfId="98" applyFont="1" applyBorder="1" applyAlignment="1">
      <alignment horizontal="center" vertical="center"/>
    </xf>
    <xf numFmtId="0" fontId="85" fillId="0" borderId="0" xfId="98" applyFont="1" applyAlignment="1">
      <alignment horizontal="center" vertical="center"/>
    </xf>
    <xf numFmtId="0" fontId="85" fillId="0" borderId="31" xfId="98" applyFont="1" applyBorder="1" applyAlignment="1">
      <alignment horizontal="center" vertical="center"/>
    </xf>
    <xf numFmtId="0" fontId="85" fillId="0" borderId="19" xfId="98" applyFont="1" applyBorder="1"/>
    <xf numFmtId="0" fontId="85" fillId="0" borderId="16" xfId="98" applyFont="1" applyBorder="1"/>
    <xf numFmtId="0" fontId="85" fillId="0" borderId="99" xfId="98" applyFont="1" applyBorder="1"/>
    <xf numFmtId="0" fontId="71" fillId="0" borderId="45" xfId="98" applyFont="1" applyBorder="1" applyAlignment="1">
      <alignment horizontal="center" vertical="center"/>
    </xf>
    <xf numFmtId="0" fontId="71" fillId="0" borderId="15" xfId="98" applyFont="1" applyBorder="1" applyAlignment="1">
      <alignment horizontal="center" vertical="center"/>
    </xf>
    <xf numFmtId="0" fontId="86" fillId="0" borderId="61" xfId="98" applyFont="1" applyBorder="1" applyAlignment="1">
      <alignment horizontal="center" vertical="center"/>
    </xf>
    <xf numFmtId="0" fontId="71" fillId="0" borderId="47" xfId="98" applyFont="1" applyBorder="1" applyAlignment="1">
      <alignment horizontal="center" vertical="center"/>
    </xf>
    <xf numFmtId="0" fontId="85" fillId="0" borderId="53" xfId="98" applyFont="1" applyBorder="1" applyAlignment="1">
      <alignment horizontal="center" vertical="center"/>
    </xf>
    <xf numFmtId="0" fontId="85" fillId="0" borderId="146" xfId="98" applyFont="1" applyBorder="1" applyAlignment="1">
      <alignment horizontal="center" vertical="center"/>
    </xf>
    <xf numFmtId="0" fontId="85" fillId="0" borderId="100" xfId="98" applyFont="1" applyBorder="1" applyAlignment="1">
      <alignment horizontal="center" vertical="center"/>
    </xf>
    <xf numFmtId="0" fontId="71" fillId="0" borderId="83" xfId="98" applyFont="1" applyBorder="1" applyAlignment="1">
      <alignment horizontal="center" vertical="center"/>
    </xf>
    <xf numFmtId="0" fontId="85" fillId="0" borderId="69" xfId="98" applyFont="1" applyBorder="1" applyAlignment="1">
      <alignment horizontal="center" vertical="center"/>
    </xf>
    <xf numFmtId="0" fontId="71" fillId="0" borderId="0" xfId="99" applyFont="1" applyAlignment="1">
      <alignment horizontal="center"/>
    </xf>
    <xf numFmtId="0" fontId="72" fillId="0" borderId="0" xfId="0" applyFont="1"/>
    <xf numFmtId="0" fontId="135" fillId="0" borderId="0" xfId="100" applyFont="1" applyAlignment="1">
      <alignment horizontal="center" wrapText="1"/>
    </xf>
    <xf numFmtId="0" fontId="135" fillId="0" borderId="0" xfId="100" applyFont="1" applyAlignment="1">
      <alignment horizontal="center"/>
    </xf>
    <xf numFmtId="0" fontId="135" fillId="0" borderId="83" xfId="100" applyFont="1" applyBorder="1" applyAlignment="1">
      <alignment horizontal="center" vertical="center" wrapText="1"/>
    </xf>
    <xf numFmtId="0" fontId="135" fillId="0" borderId="70" xfId="100" applyFont="1" applyBorder="1" applyAlignment="1">
      <alignment horizontal="center" vertical="center" wrapText="1"/>
    </xf>
    <xf numFmtId="0" fontId="135" fillId="0" borderId="117" xfId="100" applyFont="1" applyBorder="1" applyAlignment="1">
      <alignment horizontal="center" vertical="center"/>
    </xf>
    <xf numFmtId="0" fontId="135" fillId="0" borderId="131" xfId="100" applyFont="1" applyBorder="1" applyAlignment="1">
      <alignment horizontal="center" vertical="center"/>
    </xf>
    <xf numFmtId="0" fontId="135" fillId="0" borderId="142" xfId="100" applyFont="1" applyBorder="1" applyAlignment="1">
      <alignment horizontal="center" vertical="center"/>
    </xf>
  </cellXfs>
  <cellStyles count="10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98" xr:uid="{64A6DE58-AD9A-4157-9955-0142CA4242CB}"/>
    <cellStyle name="Normál 5" xfId="100" xr:uid="{EE2DE350-BA3D-4B97-B964-D9E42AABE55D}"/>
    <cellStyle name="Normál 6" xfId="105" xr:uid="{95C49C48-C1C2-4909-B25B-DDE6194077E0}"/>
    <cellStyle name="Normál 7" xfId="106" xr:uid="{2297D95D-08E6-421E-B8FD-BEE3D81EF16D}"/>
    <cellStyle name="Normál_99LETSZ_LETSZ02" xfId="101" xr:uid="{BA1D5D57-DFB2-4C32-AE45-67672446D355}"/>
    <cellStyle name="Normál_ESZKFOR" xfId="92" xr:uid="{D6D85E82-172F-41DC-9DB6-85F313B8EDC9}"/>
    <cellStyle name="Normál_GAZDTÁRS11" xfId="99" xr:uid="{8F8CD3B7-8A2E-45E3-A635-E753036B02B7}"/>
    <cellStyle name="Normál_GUCIFEJL" xfId="77" xr:uid="{00000000-0005-0000-0000-00004D000000}"/>
    <cellStyle name="Normál_IKÖZI" xfId="104" xr:uid="{696D5FD0-81C8-4291-8F42-5A829170A731}"/>
    <cellStyle name="Normál_kiemelt eik 2013" xfId="89" xr:uid="{915F5B30-6D97-479D-BC9D-2969CCBEB799}"/>
    <cellStyle name="Normál_kozvetetttam" xfId="90" xr:uid="{EB573F03-0B46-4646-9E66-0D57135F0A06}"/>
    <cellStyle name="Normál_LAKAS" xfId="93" xr:uid="{05E13892-6F92-49BE-8880-AB0F77AA4D5B}"/>
    <cellStyle name="Normál_LETSZ06" xfId="103" xr:uid="{26552F7D-F1CB-42FF-9D2D-7EC49917C8ED}"/>
    <cellStyle name="Normál_letsz2011" xfId="102" xr:uid="{BEADAE3D-A0E5-4D48-BAB5-058FB3278A83}"/>
    <cellStyle name="Normál_módIV12önk" xfId="88" xr:uid="{34C82B9F-7A41-48EC-881C-30B336DDC484}"/>
    <cellStyle name="Normál_Munkafüzet1" xfId="95" xr:uid="{DE2BB833-6629-4DCD-AB91-E3AA748180AA}"/>
    <cellStyle name="Normál_Munkafüzet2" xfId="78" xr:uid="{00000000-0005-0000-0000-00004E000000}"/>
    <cellStyle name="Normál_SEGÉLY98" xfId="94" xr:uid="{D2F0293B-F490-4F21-86AF-8E6BD9C2857D}"/>
    <cellStyle name="Normál_TÖBBEV" xfId="91" xr:uid="{46F210D0-6556-4634-A2F1-685CE16FADCC}"/>
    <cellStyle name="Normál_VAGYONRE" xfId="96" xr:uid="{27A230E1-2907-4D1C-BAFF-13ABA2CB724F}"/>
    <cellStyle name="Normál_VAGYONZ" xfId="97" xr:uid="{92AE5090-CAF0-41CA-9BA7-8341F48A7CB7}"/>
    <cellStyle name="Note" xfId="79" xr:uid="{00000000-0005-0000-0000-00004F000000}"/>
    <cellStyle name="Output" xfId="80" xr:uid="{00000000-0005-0000-0000-000050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55000000}"/>
    <cellStyle name="Total" xfId="86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Rendeletm&#243;dos&#237;t&#225;s/INTrend.m&#243;d.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Rendeletm&#243;dos&#237;t&#225;s/Int.l&#233;tsz&#225;m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>
        <row r="10">
          <cell r="B10">
            <v>1620</v>
          </cell>
          <cell r="E10">
            <v>0</v>
          </cell>
          <cell r="H10">
            <v>0</v>
          </cell>
          <cell r="K10">
            <v>0</v>
          </cell>
          <cell r="R10">
            <v>0</v>
          </cell>
          <cell r="U10">
            <v>0</v>
          </cell>
          <cell r="X10">
            <v>0</v>
          </cell>
          <cell r="AK10">
            <v>243167</v>
          </cell>
          <cell r="AN10">
            <v>0</v>
          </cell>
        </row>
        <row r="11">
          <cell r="B11">
            <v>1000</v>
          </cell>
          <cell r="E11">
            <v>0</v>
          </cell>
          <cell r="H11">
            <v>0</v>
          </cell>
          <cell r="K11">
            <v>0</v>
          </cell>
          <cell r="R11">
            <v>0</v>
          </cell>
          <cell r="U11">
            <v>0</v>
          </cell>
          <cell r="X11">
            <v>0</v>
          </cell>
          <cell r="AK11">
            <v>157918</v>
          </cell>
          <cell r="AN11">
            <v>0</v>
          </cell>
        </row>
        <row r="12">
          <cell r="B12">
            <v>1248</v>
          </cell>
          <cell r="E12">
            <v>0</v>
          </cell>
          <cell r="H12">
            <v>0</v>
          </cell>
          <cell r="K12">
            <v>0</v>
          </cell>
          <cell r="R12">
            <v>0</v>
          </cell>
          <cell r="U12">
            <v>0</v>
          </cell>
          <cell r="X12">
            <v>0</v>
          </cell>
          <cell r="AK12">
            <v>176103</v>
          </cell>
          <cell r="AN12">
            <v>0</v>
          </cell>
        </row>
        <row r="13">
          <cell r="B13">
            <v>1040</v>
          </cell>
          <cell r="E13">
            <v>0</v>
          </cell>
          <cell r="H13">
            <v>0</v>
          </cell>
          <cell r="K13">
            <v>0</v>
          </cell>
          <cell r="R13">
            <v>0</v>
          </cell>
          <cell r="U13">
            <v>0</v>
          </cell>
          <cell r="X13">
            <v>0</v>
          </cell>
          <cell r="AK13">
            <v>197553</v>
          </cell>
          <cell r="AN13">
            <v>0</v>
          </cell>
        </row>
        <row r="14">
          <cell r="B14">
            <v>920</v>
          </cell>
          <cell r="E14">
            <v>0</v>
          </cell>
          <cell r="H14">
            <v>0</v>
          </cell>
          <cell r="K14">
            <v>0</v>
          </cell>
          <cell r="R14">
            <v>0</v>
          </cell>
          <cell r="U14">
            <v>0</v>
          </cell>
          <cell r="X14">
            <v>0</v>
          </cell>
          <cell r="AK14">
            <v>190823</v>
          </cell>
          <cell r="AN14">
            <v>0</v>
          </cell>
        </row>
        <row r="15">
          <cell r="B15">
            <v>1392</v>
          </cell>
          <cell r="E15">
            <v>0</v>
          </cell>
          <cell r="H15">
            <v>0</v>
          </cell>
          <cell r="K15">
            <v>0</v>
          </cell>
          <cell r="R15">
            <v>0</v>
          </cell>
          <cell r="U15">
            <v>0</v>
          </cell>
          <cell r="X15">
            <v>0</v>
          </cell>
          <cell r="AK15">
            <v>168592</v>
          </cell>
          <cell r="AN15">
            <v>0</v>
          </cell>
        </row>
        <row r="16">
          <cell r="B16">
            <v>1040</v>
          </cell>
          <cell r="E16">
            <v>0</v>
          </cell>
          <cell r="H16">
            <v>0</v>
          </cell>
          <cell r="K16">
            <v>0</v>
          </cell>
          <cell r="R16">
            <v>0</v>
          </cell>
          <cell r="U16">
            <v>0</v>
          </cell>
          <cell r="X16">
            <v>0</v>
          </cell>
          <cell r="AK16">
            <v>133002</v>
          </cell>
          <cell r="AN16">
            <v>0</v>
          </cell>
        </row>
        <row r="17">
          <cell r="B17">
            <v>960</v>
          </cell>
          <cell r="E17">
            <v>0</v>
          </cell>
          <cell r="H17">
            <v>0</v>
          </cell>
          <cell r="K17">
            <v>0</v>
          </cell>
          <cell r="R17">
            <v>0</v>
          </cell>
          <cell r="U17">
            <v>0</v>
          </cell>
          <cell r="X17">
            <v>0</v>
          </cell>
          <cell r="AK17">
            <v>141857</v>
          </cell>
          <cell r="AN17">
            <v>0</v>
          </cell>
        </row>
        <row r="18">
          <cell r="B18">
            <v>1180</v>
          </cell>
          <cell r="E18">
            <v>0</v>
          </cell>
          <cell r="H18">
            <v>0</v>
          </cell>
          <cell r="K18">
            <v>0</v>
          </cell>
          <cell r="R18">
            <v>0</v>
          </cell>
          <cell r="U18">
            <v>0</v>
          </cell>
          <cell r="X18">
            <v>0</v>
          </cell>
          <cell r="AK18">
            <v>187073</v>
          </cell>
          <cell r="AN18">
            <v>0</v>
          </cell>
        </row>
        <row r="19">
          <cell r="B19">
            <v>1480</v>
          </cell>
          <cell r="E19">
            <v>0</v>
          </cell>
          <cell r="H19">
            <v>0</v>
          </cell>
          <cell r="K19">
            <v>0</v>
          </cell>
          <cell r="R19">
            <v>0</v>
          </cell>
          <cell r="U19">
            <v>0</v>
          </cell>
          <cell r="X19">
            <v>0</v>
          </cell>
          <cell r="AK19">
            <v>230200</v>
          </cell>
          <cell r="AN19">
            <v>0</v>
          </cell>
        </row>
        <row r="20">
          <cell r="B20">
            <v>480</v>
          </cell>
          <cell r="E20">
            <v>0</v>
          </cell>
          <cell r="H20">
            <v>0</v>
          </cell>
          <cell r="K20">
            <v>0</v>
          </cell>
          <cell r="R20">
            <v>0</v>
          </cell>
          <cell r="U20">
            <v>0</v>
          </cell>
          <cell r="X20">
            <v>0</v>
          </cell>
          <cell r="AK20">
            <v>114825</v>
          </cell>
          <cell r="AN20">
            <v>0</v>
          </cell>
        </row>
        <row r="21">
          <cell r="B21">
            <v>1070</v>
          </cell>
          <cell r="E21">
            <v>0</v>
          </cell>
          <cell r="H21">
            <v>0</v>
          </cell>
          <cell r="K21">
            <v>0</v>
          </cell>
          <cell r="R21">
            <v>0</v>
          </cell>
          <cell r="U21">
            <v>0</v>
          </cell>
          <cell r="X21">
            <v>0</v>
          </cell>
          <cell r="AK21">
            <v>112861</v>
          </cell>
          <cell r="AN21">
            <v>0</v>
          </cell>
        </row>
        <row r="22">
          <cell r="B22">
            <v>1320</v>
          </cell>
          <cell r="E22">
            <v>0</v>
          </cell>
          <cell r="H22">
            <v>0</v>
          </cell>
          <cell r="K22">
            <v>0</v>
          </cell>
          <cell r="R22">
            <v>0</v>
          </cell>
          <cell r="U22">
            <v>0</v>
          </cell>
          <cell r="X22">
            <v>0</v>
          </cell>
          <cell r="AK22">
            <v>137381</v>
          </cell>
          <cell r="AN22">
            <v>0</v>
          </cell>
        </row>
        <row r="23">
          <cell r="B23">
            <v>720</v>
          </cell>
          <cell r="E23">
            <v>0</v>
          </cell>
          <cell r="H23">
            <v>0</v>
          </cell>
          <cell r="K23">
            <v>0</v>
          </cell>
          <cell r="R23">
            <v>0</v>
          </cell>
          <cell r="U23">
            <v>0</v>
          </cell>
          <cell r="X23">
            <v>0</v>
          </cell>
          <cell r="AK23">
            <v>152559</v>
          </cell>
          <cell r="AN23">
            <v>0</v>
          </cell>
        </row>
        <row r="24">
          <cell r="B24">
            <v>1290</v>
          </cell>
          <cell r="E24">
            <v>0</v>
          </cell>
          <cell r="H24">
            <v>0</v>
          </cell>
          <cell r="K24">
            <v>0</v>
          </cell>
          <cell r="R24">
            <v>0</v>
          </cell>
          <cell r="U24">
            <v>0</v>
          </cell>
          <cell r="X24">
            <v>0</v>
          </cell>
          <cell r="AK24">
            <v>223172</v>
          </cell>
          <cell r="AN24">
            <v>0</v>
          </cell>
        </row>
        <row r="25">
          <cell r="B25">
            <v>700</v>
          </cell>
          <cell r="E25">
            <v>0</v>
          </cell>
          <cell r="H25">
            <v>0</v>
          </cell>
          <cell r="K25">
            <v>0</v>
          </cell>
          <cell r="R25">
            <v>0</v>
          </cell>
          <cell r="U25">
            <v>0</v>
          </cell>
          <cell r="X25">
            <v>0</v>
          </cell>
          <cell r="AK25">
            <v>176893</v>
          </cell>
          <cell r="AN25">
            <v>0</v>
          </cell>
        </row>
        <row r="26">
          <cell r="B26">
            <v>720</v>
          </cell>
          <cell r="E26">
            <v>0</v>
          </cell>
          <cell r="H26">
            <v>0</v>
          </cell>
          <cell r="K26">
            <v>0</v>
          </cell>
          <cell r="R26">
            <v>0</v>
          </cell>
          <cell r="U26">
            <v>0</v>
          </cell>
          <cell r="X26">
            <v>0</v>
          </cell>
          <cell r="AK26">
            <v>126324</v>
          </cell>
          <cell r="AN26">
            <v>0</v>
          </cell>
        </row>
        <row r="27">
          <cell r="B27">
            <v>1120</v>
          </cell>
          <cell r="E27">
            <v>0</v>
          </cell>
          <cell r="H27">
            <v>0</v>
          </cell>
          <cell r="K27">
            <v>0</v>
          </cell>
          <cell r="R27">
            <v>0</v>
          </cell>
          <cell r="U27">
            <v>0</v>
          </cell>
          <cell r="X27">
            <v>0</v>
          </cell>
          <cell r="AK27">
            <v>93101</v>
          </cell>
          <cell r="AN27">
            <v>0</v>
          </cell>
        </row>
        <row r="29">
          <cell r="B29">
            <v>608901</v>
          </cell>
          <cell r="E29">
            <v>0</v>
          </cell>
          <cell r="H29">
            <v>0</v>
          </cell>
          <cell r="K29">
            <v>0</v>
          </cell>
          <cell r="R29">
            <v>0</v>
          </cell>
          <cell r="U29">
            <v>0</v>
          </cell>
          <cell r="X29">
            <v>0</v>
          </cell>
          <cell r="AK29">
            <v>1675504</v>
          </cell>
          <cell r="AN29">
            <v>0</v>
          </cell>
        </row>
        <row r="33">
          <cell r="B33">
            <v>28471</v>
          </cell>
          <cell r="E33">
            <v>0</v>
          </cell>
          <cell r="H33">
            <v>0</v>
          </cell>
          <cell r="K33">
            <v>0</v>
          </cell>
          <cell r="R33">
            <v>0</v>
          </cell>
          <cell r="U33">
            <v>0</v>
          </cell>
          <cell r="X33">
            <v>0</v>
          </cell>
          <cell r="AK33">
            <v>133730</v>
          </cell>
          <cell r="AN33">
            <v>0</v>
          </cell>
        </row>
        <row r="34">
          <cell r="B34">
            <v>102344</v>
          </cell>
          <cell r="E34">
            <v>0</v>
          </cell>
          <cell r="H34">
            <v>0</v>
          </cell>
          <cell r="K34">
            <v>0</v>
          </cell>
          <cell r="R34">
            <v>0</v>
          </cell>
          <cell r="U34">
            <v>0</v>
          </cell>
          <cell r="X34">
            <v>0</v>
          </cell>
          <cell r="AK34">
            <v>454971</v>
          </cell>
          <cell r="AN34">
            <v>0</v>
          </cell>
        </row>
        <row r="35">
          <cell r="B35">
            <v>26100</v>
          </cell>
          <cell r="E35">
            <v>0</v>
          </cell>
          <cell r="H35">
            <v>0</v>
          </cell>
          <cell r="K35">
            <v>0</v>
          </cell>
          <cell r="R35">
            <v>0</v>
          </cell>
          <cell r="U35">
            <v>0</v>
          </cell>
          <cell r="X35">
            <v>0</v>
          </cell>
          <cell r="AK35">
            <v>289784</v>
          </cell>
          <cell r="AN35">
            <v>0</v>
          </cell>
        </row>
        <row r="36">
          <cell r="B36">
            <v>154078</v>
          </cell>
          <cell r="E36">
            <v>0</v>
          </cell>
          <cell r="H36">
            <v>0</v>
          </cell>
          <cell r="K36">
            <v>0</v>
          </cell>
          <cell r="R36">
            <v>0</v>
          </cell>
          <cell r="U36">
            <v>0</v>
          </cell>
          <cell r="X36">
            <v>0</v>
          </cell>
          <cell r="AK36">
            <v>617225</v>
          </cell>
          <cell r="AN36">
            <v>0</v>
          </cell>
        </row>
        <row r="39">
          <cell r="B39">
            <v>141307</v>
          </cell>
          <cell r="E39">
            <v>0</v>
          </cell>
          <cell r="H39">
            <v>0</v>
          </cell>
          <cell r="K39">
            <v>0</v>
          </cell>
          <cell r="R39">
            <v>0</v>
          </cell>
          <cell r="U39">
            <v>0</v>
          </cell>
          <cell r="X39">
            <v>0</v>
          </cell>
          <cell r="AK39">
            <v>1416028</v>
          </cell>
          <cell r="AN39">
            <v>0</v>
          </cell>
        </row>
        <row r="41">
          <cell r="B41">
            <v>52045</v>
          </cell>
          <cell r="E41">
            <v>432100</v>
          </cell>
          <cell r="H41">
            <v>0</v>
          </cell>
          <cell r="K41">
            <v>0</v>
          </cell>
          <cell r="R41">
            <v>0</v>
          </cell>
          <cell r="U41">
            <v>250</v>
          </cell>
          <cell r="X41">
            <v>0</v>
          </cell>
          <cell r="AK41">
            <v>383068</v>
          </cell>
          <cell r="AN41">
            <v>1778</v>
          </cell>
        </row>
        <row r="43">
          <cell r="B43">
            <v>88796</v>
          </cell>
          <cell r="E43">
            <v>0</v>
          </cell>
          <cell r="H43">
            <v>0</v>
          </cell>
          <cell r="K43">
            <v>0</v>
          </cell>
          <cell r="R43">
            <v>0</v>
          </cell>
          <cell r="U43">
            <v>0</v>
          </cell>
          <cell r="X43">
            <v>0</v>
          </cell>
          <cell r="AK43">
            <v>1625075</v>
          </cell>
          <cell r="AN43">
            <v>0</v>
          </cell>
        </row>
        <row r="45">
          <cell r="B45">
            <v>188823</v>
          </cell>
          <cell r="E45">
            <v>0</v>
          </cell>
          <cell r="H45">
            <v>0</v>
          </cell>
          <cell r="K45">
            <v>0</v>
          </cell>
          <cell r="R45">
            <v>0</v>
          </cell>
          <cell r="U45">
            <v>0</v>
          </cell>
          <cell r="X45">
            <v>0</v>
          </cell>
          <cell r="AK45">
            <v>16986</v>
          </cell>
          <cell r="AN45">
            <v>0</v>
          </cell>
        </row>
        <row r="46">
          <cell r="B46">
            <v>16670</v>
          </cell>
          <cell r="E46">
            <v>0</v>
          </cell>
          <cell r="H46">
            <v>0</v>
          </cell>
          <cell r="K46">
            <v>1850</v>
          </cell>
          <cell r="R46">
            <v>0</v>
          </cell>
          <cell r="U46">
            <v>0</v>
          </cell>
          <cell r="X46">
            <v>0</v>
          </cell>
          <cell r="AK46">
            <v>2955272</v>
          </cell>
          <cell r="AN46">
            <v>150150</v>
          </cell>
        </row>
      </sheetData>
      <sheetData sheetId="3">
        <row r="10">
          <cell r="B10">
            <v>208896</v>
          </cell>
          <cell r="E10">
            <v>31081</v>
          </cell>
          <cell r="H10">
            <v>4810</v>
          </cell>
          <cell r="L10">
            <v>0</v>
          </cell>
          <cell r="O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B11">
            <v>138357</v>
          </cell>
          <cell r="E11">
            <v>17978</v>
          </cell>
          <cell r="H11">
            <v>2583</v>
          </cell>
          <cell r="L11">
            <v>0</v>
          </cell>
          <cell r="O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B12">
            <v>153949</v>
          </cell>
          <cell r="E12">
            <v>20266</v>
          </cell>
          <cell r="H12">
            <v>3136</v>
          </cell>
          <cell r="L12">
            <v>0</v>
          </cell>
          <cell r="O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B13">
            <v>169606</v>
          </cell>
          <cell r="E13">
            <v>25558</v>
          </cell>
          <cell r="H13">
            <v>3429</v>
          </cell>
          <cell r="L13">
            <v>0</v>
          </cell>
          <cell r="O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B14">
            <v>164253</v>
          </cell>
          <cell r="E14">
            <v>24454</v>
          </cell>
          <cell r="H14">
            <v>3036</v>
          </cell>
          <cell r="L14">
            <v>0</v>
          </cell>
          <cell r="O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B15">
            <v>147777</v>
          </cell>
          <cell r="E15">
            <v>19496</v>
          </cell>
          <cell r="H15">
            <v>2711</v>
          </cell>
          <cell r="L15">
            <v>0</v>
          </cell>
          <cell r="O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B16">
            <v>116079</v>
          </cell>
          <cell r="E16">
            <v>15148</v>
          </cell>
          <cell r="H16">
            <v>2815</v>
          </cell>
          <cell r="L16">
            <v>0</v>
          </cell>
          <cell r="O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B17">
            <v>123896</v>
          </cell>
          <cell r="E17">
            <v>16223</v>
          </cell>
          <cell r="H17">
            <v>2698</v>
          </cell>
          <cell r="L17">
            <v>0</v>
          </cell>
          <cell r="O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B18">
            <v>161023</v>
          </cell>
          <cell r="E18">
            <v>24156</v>
          </cell>
          <cell r="H18">
            <v>3074</v>
          </cell>
          <cell r="L18">
            <v>0</v>
          </cell>
          <cell r="O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B19">
            <v>198472</v>
          </cell>
          <cell r="E19">
            <v>29306</v>
          </cell>
          <cell r="H19">
            <v>3902</v>
          </cell>
          <cell r="L19">
            <v>0</v>
          </cell>
          <cell r="O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B20">
            <v>99981</v>
          </cell>
          <cell r="E20">
            <v>13016</v>
          </cell>
          <cell r="H20">
            <v>2308</v>
          </cell>
          <cell r="L20">
            <v>0</v>
          </cell>
          <cell r="O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B21">
            <v>98833</v>
          </cell>
          <cell r="E21">
            <v>12927</v>
          </cell>
          <cell r="H21">
            <v>2171</v>
          </cell>
          <cell r="L21">
            <v>0</v>
          </cell>
          <cell r="O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B22">
            <v>120464</v>
          </cell>
          <cell r="E22">
            <v>15604</v>
          </cell>
          <cell r="H22">
            <v>2633</v>
          </cell>
          <cell r="L22">
            <v>0</v>
          </cell>
          <cell r="O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B23">
            <v>133011</v>
          </cell>
          <cell r="E23">
            <v>17557</v>
          </cell>
          <cell r="H23">
            <v>2711</v>
          </cell>
          <cell r="L23">
            <v>0</v>
          </cell>
          <cell r="O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B24">
            <v>192608</v>
          </cell>
          <cell r="E24">
            <v>28553</v>
          </cell>
          <cell r="H24">
            <v>3301</v>
          </cell>
          <cell r="L24">
            <v>0</v>
          </cell>
          <cell r="O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B25">
            <v>154697</v>
          </cell>
          <cell r="E25">
            <v>20330</v>
          </cell>
          <cell r="H25">
            <v>2566</v>
          </cell>
          <cell r="L25">
            <v>0</v>
          </cell>
          <cell r="O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B26">
            <v>109709</v>
          </cell>
          <cell r="E26">
            <v>14347</v>
          </cell>
          <cell r="H26">
            <v>2988</v>
          </cell>
          <cell r="L26">
            <v>0</v>
          </cell>
          <cell r="O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B27">
            <v>80870</v>
          </cell>
          <cell r="E27">
            <v>10513</v>
          </cell>
          <cell r="H27">
            <v>2838</v>
          </cell>
          <cell r="L27">
            <v>0</v>
          </cell>
          <cell r="O27">
            <v>0</v>
          </cell>
          <cell r="V27">
            <v>0</v>
          </cell>
          <cell r="Y27">
            <v>0</v>
          </cell>
          <cell r="AB27">
            <v>0</v>
          </cell>
        </row>
        <row r="29">
          <cell r="B29">
            <v>316605</v>
          </cell>
          <cell r="E29">
            <v>46522</v>
          </cell>
          <cell r="H29">
            <v>1921278</v>
          </cell>
          <cell r="L29">
            <v>0</v>
          </cell>
          <cell r="O29">
            <v>0</v>
          </cell>
          <cell r="V29">
            <v>0</v>
          </cell>
          <cell r="Y29">
            <v>0</v>
          </cell>
          <cell r="AB29">
            <v>0</v>
          </cell>
        </row>
        <row r="33">
          <cell r="B33">
            <v>121993</v>
          </cell>
          <cell r="E33">
            <v>15512</v>
          </cell>
          <cell r="H33">
            <v>24696</v>
          </cell>
          <cell r="L33">
            <v>0</v>
          </cell>
          <cell r="O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B34">
            <v>430541</v>
          </cell>
          <cell r="E34">
            <v>55305</v>
          </cell>
          <cell r="H34">
            <v>71469</v>
          </cell>
          <cell r="L34">
            <v>0</v>
          </cell>
          <cell r="O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B35">
            <v>224567</v>
          </cell>
          <cell r="E35">
            <v>28930</v>
          </cell>
          <cell r="H35">
            <v>62387</v>
          </cell>
          <cell r="L35">
            <v>0</v>
          </cell>
          <cell r="O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B36">
            <v>481069</v>
          </cell>
          <cell r="E36">
            <v>61858</v>
          </cell>
          <cell r="H36">
            <v>228376</v>
          </cell>
          <cell r="L36">
            <v>0</v>
          </cell>
          <cell r="O36">
            <v>0</v>
          </cell>
          <cell r="V36">
            <v>0</v>
          </cell>
          <cell r="Y36">
            <v>0</v>
          </cell>
          <cell r="AB36">
            <v>0</v>
          </cell>
        </row>
        <row r="39">
          <cell r="B39">
            <v>874789</v>
          </cell>
          <cell r="E39">
            <v>139323</v>
          </cell>
          <cell r="H39">
            <v>543223</v>
          </cell>
          <cell r="L39">
            <v>0</v>
          </cell>
          <cell r="O39">
            <v>0</v>
          </cell>
          <cell r="V39">
            <v>0</v>
          </cell>
          <cell r="Y39">
            <v>0</v>
          </cell>
          <cell r="AB39">
            <v>0</v>
          </cell>
        </row>
        <row r="41">
          <cell r="B41">
            <v>567632</v>
          </cell>
          <cell r="E41">
            <v>80907</v>
          </cell>
          <cell r="H41">
            <v>218674</v>
          </cell>
          <cell r="L41">
            <v>0</v>
          </cell>
          <cell r="O41">
            <v>0</v>
          </cell>
          <cell r="V41">
            <v>2028</v>
          </cell>
          <cell r="Y41">
            <v>0</v>
          </cell>
          <cell r="AB41">
            <v>0</v>
          </cell>
        </row>
        <row r="43">
          <cell r="B43">
            <v>1292344</v>
          </cell>
          <cell r="E43">
            <v>194534</v>
          </cell>
          <cell r="H43">
            <v>226993</v>
          </cell>
          <cell r="L43">
            <v>0</v>
          </cell>
          <cell r="O43">
            <v>0</v>
          </cell>
          <cell r="V43">
            <v>0</v>
          </cell>
          <cell r="Y43">
            <v>0</v>
          </cell>
          <cell r="AB43">
            <v>0</v>
          </cell>
        </row>
        <row r="45">
          <cell r="B45">
            <v>78754</v>
          </cell>
          <cell r="E45">
            <v>10325</v>
          </cell>
          <cell r="H45">
            <v>116730</v>
          </cell>
          <cell r="L45">
            <v>0</v>
          </cell>
          <cell r="O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B46">
            <v>2211636</v>
          </cell>
          <cell r="E46">
            <v>327239</v>
          </cell>
          <cell r="H46">
            <v>431917</v>
          </cell>
          <cell r="L46">
            <v>0</v>
          </cell>
          <cell r="O46">
            <v>3000</v>
          </cell>
          <cell r="V46">
            <v>136150</v>
          </cell>
          <cell r="Y46">
            <v>14000</v>
          </cell>
          <cell r="AB46">
            <v>0</v>
          </cell>
        </row>
      </sheetData>
      <sheetData sheetId="4"/>
      <sheetData sheetId="5"/>
      <sheetData sheetId="6">
        <row r="10">
          <cell r="D10">
            <v>3562</v>
          </cell>
          <cell r="G10">
            <v>23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2389</v>
          </cell>
          <cell r="AM10">
            <v>241508</v>
          </cell>
          <cell r="AP10">
            <v>3473</v>
          </cell>
        </row>
        <row r="11">
          <cell r="D11">
            <v>1024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1653</v>
          </cell>
          <cell r="AM11">
            <v>165885</v>
          </cell>
          <cell r="AP11">
            <v>845</v>
          </cell>
        </row>
        <row r="12">
          <cell r="D12">
            <v>1473</v>
          </cell>
          <cell r="G12">
            <v>240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511</v>
          </cell>
          <cell r="AM12">
            <v>179938</v>
          </cell>
          <cell r="AP12">
            <v>554</v>
          </cell>
        </row>
        <row r="13">
          <cell r="D13">
            <v>1242</v>
          </cell>
          <cell r="G13">
            <v>31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1065</v>
          </cell>
          <cell r="AM13">
            <v>201005</v>
          </cell>
          <cell r="AP13">
            <v>0</v>
          </cell>
        </row>
        <row r="14">
          <cell r="D14">
            <v>1711</v>
          </cell>
          <cell r="G14">
            <v>120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3052</v>
          </cell>
          <cell r="AM14">
            <v>194416</v>
          </cell>
          <cell r="AP14">
            <v>1146</v>
          </cell>
        </row>
        <row r="15">
          <cell r="D15">
            <v>1876</v>
          </cell>
          <cell r="G15">
            <v>38</v>
          </cell>
          <cell r="J15">
            <v>1054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938</v>
          </cell>
          <cell r="AM15">
            <v>171813</v>
          </cell>
          <cell r="AP15">
            <v>3326</v>
          </cell>
        </row>
        <row r="16">
          <cell r="D16">
            <v>2443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644</v>
          </cell>
          <cell r="AM16">
            <v>137165</v>
          </cell>
          <cell r="AP16">
            <v>204</v>
          </cell>
        </row>
        <row r="17">
          <cell r="D17">
            <v>2240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573</v>
          </cell>
          <cell r="AM17">
            <v>146169</v>
          </cell>
          <cell r="AP17">
            <v>3259</v>
          </cell>
        </row>
        <row r="18">
          <cell r="D18">
            <v>772</v>
          </cell>
          <cell r="G18">
            <v>21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781</v>
          </cell>
          <cell r="AM18">
            <v>193306</v>
          </cell>
          <cell r="AP18">
            <v>3462</v>
          </cell>
        </row>
        <row r="19">
          <cell r="D19">
            <v>4577</v>
          </cell>
          <cell r="G19">
            <v>27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3197</v>
          </cell>
          <cell r="AM19">
            <v>243057</v>
          </cell>
          <cell r="AP19">
            <v>1283</v>
          </cell>
        </row>
        <row r="20">
          <cell r="D20">
            <v>887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455</v>
          </cell>
          <cell r="AM20">
            <v>118184</v>
          </cell>
          <cell r="AP20">
            <v>3300</v>
          </cell>
        </row>
        <row r="21">
          <cell r="D21">
            <v>1270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1145</v>
          </cell>
          <cell r="AM21">
            <v>113150</v>
          </cell>
          <cell r="AP21">
            <v>442</v>
          </cell>
        </row>
        <row r="22">
          <cell r="D22">
            <v>1745</v>
          </cell>
          <cell r="G22">
            <v>21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804</v>
          </cell>
          <cell r="AM22">
            <v>145083</v>
          </cell>
          <cell r="AP22">
            <v>4321</v>
          </cell>
        </row>
        <row r="23">
          <cell r="D23">
            <v>1348</v>
          </cell>
          <cell r="G23">
            <v>224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1533</v>
          </cell>
          <cell r="AM23">
            <v>159728</v>
          </cell>
          <cell r="AP23">
            <v>6132</v>
          </cell>
        </row>
        <row r="24">
          <cell r="D24">
            <v>1957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1207</v>
          </cell>
          <cell r="AM24">
            <v>222537</v>
          </cell>
          <cell r="AP24">
            <v>3119</v>
          </cell>
        </row>
        <row r="25">
          <cell r="D25">
            <v>625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1509</v>
          </cell>
          <cell r="AM25">
            <v>179248</v>
          </cell>
          <cell r="AP25">
            <v>6686</v>
          </cell>
        </row>
        <row r="26">
          <cell r="D26">
            <v>1937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2048</v>
          </cell>
          <cell r="AM26">
            <v>132379</v>
          </cell>
          <cell r="AP26">
            <v>3281</v>
          </cell>
        </row>
        <row r="27">
          <cell r="D27">
            <v>1018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785</v>
          </cell>
          <cell r="AM27">
            <v>93161</v>
          </cell>
          <cell r="AP27">
            <v>873</v>
          </cell>
        </row>
        <row r="29">
          <cell r="D29">
            <v>576476</v>
          </cell>
          <cell r="G29">
            <v>2998</v>
          </cell>
          <cell r="J29">
            <v>0</v>
          </cell>
          <cell r="M29">
            <v>0</v>
          </cell>
          <cell r="T29">
            <v>160</v>
          </cell>
          <cell r="W29">
            <v>0</v>
          </cell>
          <cell r="Z29">
            <v>0</v>
          </cell>
          <cell r="AJ29">
            <v>44709</v>
          </cell>
          <cell r="AM29">
            <v>1693861</v>
          </cell>
          <cell r="AP29">
            <v>94708</v>
          </cell>
        </row>
        <row r="33">
          <cell r="D33">
            <v>56879</v>
          </cell>
          <cell r="G33">
            <v>26495</v>
          </cell>
          <cell r="J33">
            <v>30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24080</v>
          </cell>
          <cell r="AM33">
            <v>163279</v>
          </cell>
          <cell r="AP33">
            <v>652</v>
          </cell>
        </row>
        <row r="34">
          <cell r="D34">
            <v>130801</v>
          </cell>
          <cell r="G34">
            <v>168734</v>
          </cell>
          <cell r="J34">
            <v>20011</v>
          </cell>
          <cell r="M34">
            <v>0</v>
          </cell>
          <cell r="T34">
            <v>10280</v>
          </cell>
          <cell r="W34">
            <v>33000</v>
          </cell>
          <cell r="Z34">
            <v>0</v>
          </cell>
          <cell r="AJ34">
            <v>218853</v>
          </cell>
          <cell r="AM34">
            <v>508414</v>
          </cell>
          <cell r="AP34">
            <v>31282</v>
          </cell>
        </row>
        <row r="35">
          <cell r="D35">
            <v>37857</v>
          </cell>
          <cell r="G35">
            <v>17644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30277</v>
          </cell>
          <cell r="AM35">
            <v>483696</v>
          </cell>
          <cell r="AP35">
            <v>17042</v>
          </cell>
        </row>
        <row r="36">
          <cell r="D36">
            <v>154078</v>
          </cell>
          <cell r="G36">
            <v>113694</v>
          </cell>
          <cell r="J36">
            <v>300</v>
          </cell>
          <cell r="M36">
            <v>0</v>
          </cell>
          <cell r="T36">
            <v>0</v>
          </cell>
          <cell r="W36">
            <v>6826</v>
          </cell>
          <cell r="Z36">
            <v>0</v>
          </cell>
          <cell r="AJ36">
            <v>24500</v>
          </cell>
          <cell r="AM36">
            <v>722039</v>
          </cell>
          <cell r="AP36">
            <v>10745</v>
          </cell>
        </row>
        <row r="39">
          <cell r="D39">
            <v>229094</v>
          </cell>
          <cell r="G39">
            <v>5731</v>
          </cell>
          <cell r="J39">
            <v>437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1233</v>
          </cell>
          <cell r="AM39">
            <v>1607295</v>
          </cell>
          <cell r="AP39">
            <v>109880</v>
          </cell>
        </row>
        <row r="41">
          <cell r="D41">
            <v>49613</v>
          </cell>
          <cell r="G41">
            <v>517679</v>
          </cell>
          <cell r="J41">
            <v>0</v>
          </cell>
          <cell r="M41">
            <v>0</v>
          </cell>
          <cell r="T41">
            <v>22</v>
          </cell>
          <cell r="W41">
            <v>250</v>
          </cell>
          <cell r="AJ41">
            <v>120577</v>
          </cell>
          <cell r="AM41">
            <v>420661</v>
          </cell>
          <cell r="AP41">
            <v>6131</v>
          </cell>
        </row>
        <row r="43">
          <cell r="D43">
            <v>97892</v>
          </cell>
          <cell r="G43">
            <v>25762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1514</v>
          </cell>
          <cell r="AM43">
            <v>1653999</v>
          </cell>
          <cell r="AP43">
            <v>82564</v>
          </cell>
        </row>
        <row r="45">
          <cell r="D45">
            <v>185714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720</v>
          </cell>
          <cell r="AM45">
            <v>32234</v>
          </cell>
          <cell r="AP45">
            <v>13125</v>
          </cell>
        </row>
        <row r="46">
          <cell r="D46">
            <v>26982</v>
          </cell>
          <cell r="G46">
            <v>49435</v>
          </cell>
          <cell r="J46">
            <v>0</v>
          </cell>
          <cell r="M46">
            <v>1850</v>
          </cell>
          <cell r="T46">
            <v>1653</v>
          </cell>
          <cell r="W46">
            <v>0</v>
          </cell>
          <cell r="Z46">
            <v>0</v>
          </cell>
          <cell r="AJ46">
            <v>7139</v>
          </cell>
          <cell r="AM46">
            <v>3192407</v>
          </cell>
          <cell r="AP46">
            <v>213935</v>
          </cell>
        </row>
      </sheetData>
      <sheetData sheetId="7">
        <row r="10">
          <cell r="D10">
            <v>209461</v>
          </cell>
          <cell r="G10">
            <v>31152</v>
          </cell>
          <cell r="J10">
            <v>6869</v>
          </cell>
          <cell r="N10">
            <v>0</v>
          </cell>
          <cell r="Q10">
            <v>0</v>
          </cell>
          <cell r="X10">
            <v>1779</v>
          </cell>
          <cell r="AA10">
            <v>1694</v>
          </cell>
          <cell r="AD10">
            <v>0</v>
          </cell>
        </row>
        <row r="11">
          <cell r="D11">
            <v>144440</v>
          </cell>
          <cell r="G11">
            <v>18628</v>
          </cell>
          <cell r="J11">
            <v>5494</v>
          </cell>
          <cell r="N11">
            <v>0</v>
          </cell>
          <cell r="Q11">
            <v>0</v>
          </cell>
          <cell r="X11">
            <v>845</v>
          </cell>
          <cell r="AA11">
            <v>0</v>
          </cell>
          <cell r="AD11">
            <v>0</v>
          </cell>
        </row>
        <row r="12">
          <cell r="D12">
            <v>155678</v>
          </cell>
          <cell r="G12">
            <v>20476</v>
          </cell>
          <cell r="J12">
            <v>6008</v>
          </cell>
          <cell r="N12">
            <v>0</v>
          </cell>
          <cell r="Q12">
            <v>0</v>
          </cell>
          <cell r="X12">
            <v>554</v>
          </cell>
          <cell r="AA12">
            <v>0</v>
          </cell>
          <cell r="AD12">
            <v>0</v>
          </cell>
        </row>
        <row r="13">
          <cell r="D13">
            <v>172808</v>
          </cell>
          <cell r="G13">
            <v>25868</v>
          </cell>
          <cell r="J13">
            <v>4667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168181</v>
          </cell>
          <cell r="G14">
            <v>24857</v>
          </cell>
          <cell r="J14">
            <v>6261</v>
          </cell>
          <cell r="N14">
            <v>0</v>
          </cell>
          <cell r="Q14">
            <v>0</v>
          </cell>
          <cell r="X14">
            <v>1146</v>
          </cell>
          <cell r="AA14">
            <v>0</v>
          </cell>
          <cell r="AD14">
            <v>0</v>
          </cell>
        </row>
        <row r="15">
          <cell r="D15">
            <v>150742</v>
          </cell>
          <cell r="G15">
            <v>19771</v>
          </cell>
          <cell r="J15">
            <v>5206</v>
          </cell>
          <cell r="N15">
            <v>0</v>
          </cell>
          <cell r="Q15">
            <v>0</v>
          </cell>
          <cell r="X15">
            <v>3326</v>
          </cell>
          <cell r="AA15">
            <v>0</v>
          </cell>
          <cell r="AD15">
            <v>0</v>
          </cell>
        </row>
        <row r="16">
          <cell r="D16">
            <v>119182</v>
          </cell>
          <cell r="G16">
            <v>15538</v>
          </cell>
          <cell r="J16">
            <v>5532</v>
          </cell>
          <cell r="N16">
            <v>0</v>
          </cell>
          <cell r="Q16">
            <v>0</v>
          </cell>
          <cell r="X16">
            <v>204</v>
          </cell>
          <cell r="AA16">
            <v>0</v>
          </cell>
          <cell r="AD16">
            <v>0</v>
          </cell>
        </row>
        <row r="17">
          <cell r="D17">
            <v>127882</v>
          </cell>
          <cell r="G17">
            <v>16754</v>
          </cell>
          <cell r="J17">
            <v>4346</v>
          </cell>
          <cell r="N17">
            <v>0</v>
          </cell>
          <cell r="Q17">
            <v>0</v>
          </cell>
          <cell r="X17">
            <v>3259</v>
          </cell>
          <cell r="AA17">
            <v>0</v>
          </cell>
          <cell r="AD17">
            <v>0</v>
          </cell>
        </row>
        <row r="18">
          <cell r="D18">
            <v>165268</v>
          </cell>
          <cell r="G18">
            <v>25445</v>
          </cell>
          <cell r="J18">
            <v>4167</v>
          </cell>
          <cell r="N18">
            <v>0</v>
          </cell>
          <cell r="Q18">
            <v>0</v>
          </cell>
          <cell r="X18">
            <v>3174</v>
          </cell>
          <cell r="AA18">
            <v>288</v>
          </cell>
          <cell r="AD18">
            <v>0</v>
          </cell>
        </row>
        <row r="19">
          <cell r="D19">
            <v>213146</v>
          </cell>
          <cell r="G19">
            <v>31096</v>
          </cell>
          <cell r="J19">
            <v>6616</v>
          </cell>
          <cell r="N19">
            <v>0</v>
          </cell>
          <cell r="Q19">
            <v>0</v>
          </cell>
          <cell r="X19">
            <v>1283</v>
          </cell>
          <cell r="AA19">
            <v>0</v>
          </cell>
          <cell r="AD19">
            <v>0</v>
          </cell>
        </row>
        <row r="20">
          <cell r="D20">
            <v>101147</v>
          </cell>
          <cell r="G20">
            <v>13183</v>
          </cell>
          <cell r="J20">
            <v>5196</v>
          </cell>
          <cell r="N20">
            <v>0</v>
          </cell>
          <cell r="Q20">
            <v>0</v>
          </cell>
          <cell r="X20">
            <v>3300</v>
          </cell>
          <cell r="AA20">
            <v>0</v>
          </cell>
          <cell r="AD20">
            <v>0</v>
          </cell>
        </row>
        <row r="21">
          <cell r="D21">
            <v>96987</v>
          </cell>
          <cell r="G21">
            <v>13218</v>
          </cell>
          <cell r="J21">
            <v>5360</v>
          </cell>
          <cell r="N21">
            <v>0</v>
          </cell>
          <cell r="Q21">
            <v>0</v>
          </cell>
          <cell r="X21">
            <v>442</v>
          </cell>
          <cell r="AA21">
            <v>0</v>
          </cell>
          <cell r="AD21">
            <v>0</v>
          </cell>
        </row>
        <row r="22">
          <cell r="D22">
            <v>127057</v>
          </cell>
          <cell r="G22">
            <v>16469</v>
          </cell>
          <cell r="J22">
            <v>4127</v>
          </cell>
          <cell r="N22">
            <v>0</v>
          </cell>
          <cell r="Q22">
            <v>0</v>
          </cell>
          <cell r="X22">
            <v>863</v>
          </cell>
          <cell r="AA22">
            <v>3458</v>
          </cell>
          <cell r="AD22">
            <v>0</v>
          </cell>
        </row>
        <row r="23">
          <cell r="D23">
            <v>138475</v>
          </cell>
          <cell r="G23">
            <v>18140</v>
          </cell>
          <cell r="J23">
            <v>6218</v>
          </cell>
          <cell r="N23">
            <v>0</v>
          </cell>
          <cell r="Q23">
            <v>0</v>
          </cell>
          <cell r="X23">
            <v>1228</v>
          </cell>
          <cell r="AA23">
            <v>4904</v>
          </cell>
          <cell r="AD23">
            <v>0</v>
          </cell>
        </row>
        <row r="24">
          <cell r="D24">
            <v>192574</v>
          </cell>
          <cell r="G24">
            <v>28549</v>
          </cell>
          <cell r="J24">
            <v>4578</v>
          </cell>
          <cell r="N24">
            <v>0</v>
          </cell>
          <cell r="Q24">
            <v>0</v>
          </cell>
          <cell r="X24">
            <v>1627</v>
          </cell>
          <cell r="AA24">
            <v>1492</v>
          </cell>
          <cell r="AD24">
            <v>0</v>
          </cell>
        </row>
        <row r="25">
          <cell r="D25">
            <v>155067</v>
          </cell>
          <cell r="G25">
            <v>20266</v>
          </cell>
          <cell r="J25">
            <v>6049</v>
          </cell>
          <cell r="N25">
            <v>0</v>
          </cell>
          <cell r="Q25">
            <v>0</v>
          </cell>
          <cell r="X25">
            <v>6686</v>
          </cell>
          <cell r="AA25">
            <v>0</v>
          </cell>
          <cell r="AD25">
            <v>0</v>
          </cell>
        </row>
        <row r="26">
          <cell r="D26">
            <v>116129</v>
          </cell>
          <cell r="G26">
            <v>15181</v>
          </cell>
          <cell r="J26">
            <v>5054</v>
          </cell>
          <cell r="N26">
            <v>0</v>
          </cell>
          <cell r="Q26">
            <v>0</v>
          </cell>
          <cell r="X26">
            <v>3281</v>
          </cell>
          <cell r="AA26">
            <v>0</v>
          </cell>
          <cell r="AD26">
            <v>0</v>
          </cell>
        </row>
        <row r="27">
          <cell r="D27">
            <v>79845</v>
          </cell>
          <cell r="G27">
            <v>10382</v>
          </cell>
          <cell r="J27">
            <v>4737</v>
          </cell>
          <cell r="N27">
            <v>0</v>
          </cell>
          <cell r="Q27">
            <v>0</v>
          </cell>
          <cell r="X27">
            <v>701</v>
          </cell>
          <cell r="AA27">
            <v>172</v>
          </cell>
          <cell r="AD27">
            <v>0</v>
          </cell>
        </row>
        <row r="29">
          <cell r="D29">
            <v>300395</v>
          </cell>
          <cell r="G29">
            <v>40586</v>
          </cell>
          <cell r="J29">
            <v>1977063</v>
          </cell>
          <cell r="N29">
            <v>0</v>
          </cell>
          <cell r="Q29">
            <v>0</v>
          </cell>
          <cell r="X29">
            <v>36946</v>
          </cell>
          <cell r="AA29">
            <v>57922</v>
          </cell>
          <cell r="AD29">
            <v>0</v>
          </cell>
        </row>
        <row r="33">
          <cell r="D33">
            <v>157459</v>
          </cell>
          <cell r="G33">
            <v>18529</v>
          </cell>
          <cell r="J33">
            <v>94775</v>
          </cell>
          <cell r="N33">
            <v>0</v>
          </cell>
          <cell r="Q33">
            <v>0</v>
          </cell>
          <cell r="X33">
            <v>652</v>
          </cell>
          <cell r="AA33">
            <v>0</v>
          </cell>
          <cell r="AD33">
            <v>0</v>
          </cell>
        </row>
        <row r="34">
          <cell r="D34">
            <v>604325</v>
          </cell>
          <cell r="G34">
            <v>76987</v>
          </cell>
          <cell r="J34">
            <v>365501</v>
          </cell>
          <cell r="N34">
            <v>0</v>
          </cell>
          <cell r="Q34">
            <v>0</v>
          </cell>
          <cell r="X34">
            <v>74562</v>
          </cell>
          <cell r="AA34">
            <v>0</v>
          </cell>
          <cell r="AD34">
            <v>0</v>
          </cell>
        </row>
        <row r="35">
          <cell r="D35">
            <v>279658</v>
          </cell>
          <cell r="G35">
            <v>38720</v>
          </cell>
          <cell r="J35">
            <v>251096</v>
          </cell>
          <cell r="N35">
            <v>0</v>
          </cell>
          <cell r="Q35">
            <v>0</v>
          </cell>
          <cell r="X35">
            <v>17042</v>
          </cell>
          <cell r="AA35">
            <v>0</v>
          </cell>
          <cell r="AD35">
            <v>0</v>
          </cell>
        </row>
        <row r="36">
          <cell r="D36">
            <v>561733</v>
          </cell>
          <cell r="G36">
            <v>72265</v>
          </cell>
          <cell r="J36">
            <v>380613</v>
          </cell>
          <cell r="N36">
            <v>0</v>
          </cell>
          <cell r="Q36">
            <v>0</v>
          </cell>
          <cell r="X36">
            <v>17571</v>
          </cell>
          <cell r="AA36">
            <v>0</v>
          </cell>
          <cell r="AD36">
            <v>0</v>
          </cell>
        </row>
        <row r="39">
          <cell r="D39">
            <v>1065871</v>
          </cell>
          <cell r="G39">
            <v>151853</v>
          </cell>
          <cell r="J39">
            <v>625996</v>
          </cell>
          <cell r="N39">
            <v>0</v>
          </cell>
          <cell r="Q39">
            <v>70</v>
          </cell>
          <cell r="X39">
            <v>27779</v>
          </cell>
          <cell r="AA39">
            <v>82101</v>
          </cell>
          <cell r="AD39">
            <v>0</v>
          </cell>
        </row>
        <row r="41">
          <cell r="D41">
            <v>679233</v>
          </cell>
          <cell r="G41">
            <v>101567</v>
          </cell>
          <cell r="J41">
            <v>327730</v>
          </cell>
          <cell r="N41">
            <v>0</v>
          </cell>
          <cell r="Q41">
            <v>0</v>
          </cell>
          <cell r="X41">
            <v>6403</v>
          </cell>
          <cell r="AA41">
            <v>0</v>
          </cell>
          <cell r="AD41">
            <v>0</v>
          </cell>
        </row>
        <row r="43">
          <cell r="D43">
            <v>1313857</v>
          </cell>
          <cell r="G43">
            <v>211888</v>
          </cell>
          <cell r="J43">
            <v>253422</v>
          </cell>
          <cell r="N43">
            <v>0</v>
          </cell>
          <cell r="Q43">
            <v>0</v>
          </cell>
          <cell r="X43">
            <v>22500</v>
          </cell>
          <cell r="AA43">
            <v>60064</v>
          </cell>
          <cell r="AD43">
            <v>0</v>
          </cell>
        </row>
        <row r="45">
          <cell r="D45">
            <v>62732</v>
          </cell>
          <cell r="G45">
            <v>8345</v>
          </cell>
          <cell r="J45">
            <v>147591</v>
          </cell>
          <cell r="N45">
            <v>0</v>
          </cell>
          <cell r="Q45">
            <v>0</v>
          </cell>
          <cell r="X45">
            <v>11070</v>
          </cell>
          <cell r="AA45">
            <v>2055</v>
          </cell>
          <cell r="AD45">
            <v>0</v>
          </cell>
        </row>
        <row r="46">
          <cell r="D46">
            <v>2409856</v>
          </cell>
          <cell r="G46">
            <v>362089</v>
          </cell>
          <cell r="J46">
            <v>500868</v>
          </cell>
          <cell r="N46">
            <v>0</v>
          </cell>
          <cell r="Q46">
            <v>5000</v>
          </cell>
          <cell r="X46">
            <v>215359</v>
          </cell>
          <cell r="AA46">
            <v>229</v>
          </cell>
          <cell r="AD4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3-2024eltérés"/>
      <sheetName val="2024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19</v>
          </cell>
          <cell r="G15">
            <v>19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30</v>
          </cell>
          <cell r="G23">
            <v>30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30</v>
          </cell>
          <cell r="M40">
            <v>30</v>
          </cell>
        </row>
        <row r="42">
          <cell r="F42">
            <v>155.01</v>
          </cell>
          <cell r="G42">
            <v>155</v>
          </cell>
          <cell r="L42">
            <v>45.74499999999999</v>
          </cell>
          <cell r="M42">
            <v>46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284.5</v>
          </cell>
          <cell r="G45">
            <v>285</v>
          </cell>
          <cell r="L45">
            <v>0</v>
          </cell>
          <cell r="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A491-8C93-4F40-BF9D-307FF173F825}">
  <dimension ref="A1:L49"/>
  <sheetViews>
    <sheetView tabSelected="1" zoomScale="75" zoomScaleNormal="75" workbookViewId="0">
      <selection activeCell="I30" sqref="I30"/>
    </sheetView>
  </sheetViews>
  <sheetFormatPr defaultRowHeight="15.75" x14ac:dyDescent="0.25"/>
  <cols>
    <col min="1" max="1" width="14.33203125" style="439" customWidth="1"/>
    <col min="2" max="2" width="121" style="439" customWidth="1"/>
    <col min="3" max="4" width="46.5" style="439" customWidth="1"/>
    <col min="5" max="5" width="46.33203125" style="520" customWidth="1"/>
    <col min="6" max="6" width="14.33203125" style="520" customWidth="1"/>
    <col min="7" max="7" width="121.1640625" style="439" customWidth="1"/>
    <col min="8" max="9" width="46.33203125" style="439" customWidth="1"/>
    <col min="10" max="10" width="46.33203125" style="520" customWidth="1"/>
    <col min="11" max="11" width="5.83203125" style="439" customWidth="1"/>
    <col min="12" max="249" width="9.33203125" style="439"/>
    <col min="250" max="250" width="14.33203125" style="439" customWidth="1"/>
    <col min="251" max="251" width="121" style="439" customWidth="1"/>
    <col min="252" max="252" width="37.6640625" style="439" customWidth="1"/>
    <col min="253" max="254" width="35.83203125" style="439" customWidth="1"/>
    <col min="255" max="255" width="14.33203125" style="439" customWidth="1"/>
    <col min="256" max="256" width="121" style="439" customWidth="1"/>
    <col min="257" max="257" width="37.1640625" style="439" customWidth="1"/>
    <col min="258" max="259" width="35.83203125" style="439" customWidth="1"/>
    <col min="260" max="261" width="18.1640625" style="439" customWidth="1"/>
    <col min="262" max="262" width="15" style="439" bestFit="1" customWidth="1"/>
    <col min="263" max="263" width="17.5" style="439" customWidth="1"/>
    <col min="264" max="505" width="9.33203125" style="439"/>
    <col min="506" max="506" width="14.33203125" style="439" customWidth="1"/>
    <col min="507" max="507" width="121" style="439" customWidth="1"/>
    <col min="508" max="508" width="37.6640625" style="439" customWidth="1"/>
    <col min="509" max="510" width="35.83203125" style="439" customWidth="1"/>
    <col min="511" max="511" width="14.33203125" style="439" customWidth="1"/>
    <col min="512" max="512" width="121" style="439" customWidth="1"/>
    <col min="513" max="513" width="37.1640625" style="439" customWidth="1"/>
    <col min="514" max="515" width="35.83203125" style="439" customWidth="1"/>
    <col min="516" max="517" width="18.1640625" style="439" customWidth="1"/>
    <col min="518" max="518" width="15" style="439" bestFit="1" customWidth="1"/>
    <col min="519" max="519" width="17.5" style="439" customWidth="1"/>
    <col min="520" max="761" width="9.33203125" style="439"/>
    <col min="762" max="762" width="14.33203125" style="439" customWidth="1"/>
    <col min="763" max="763" width="121" style="439" customWidth="1"/>
    <col min="764" max="764" width="37.6640625" style="439" customWidth="1"/>
    <col min="765" max="766" width="35.83203125" style="439" customWidth="1"/>
    <col min="767" max="767" width="14.33203125" style="439" customWidth="1"/>
    <col min="768" max="768" width="121" style="439" customWidth="1"/>
    <col min="769" max="769" width="37.1640625" style="439" customWidth="1"/>
    <col min="770" max="771" width="35.83203125" style="439" customWidth="1"/>
    <col min="772" max="773" width="18.1640625" style="439" customWidth="1"/>
    <col min="774" max="774" width="15" style="439" bestFit="1" customWidth="1"/>
    <col min="775" max="775" width="17.5" style="439" customWidth="1"/>
    <col min="776" max="1017" width="9.33203125" style="439"/>
    <col min="1018" max="1018" width="14.33203125" style="439" customWidth="1"/>
    <col min="1019" max="1019" width="121" style="439" customWidth="1"/>
    <col min="1020" max="1020" width="37.6640625" style="439" customWidth="1"/>
    <col min="1021" max="1022" width="35.83203125" style="439" customWidth="1"/>
    <col min="1023" max="1023" width="14.33203125" style="439" customWidth="1"/>
    <col min="1024" max="1024" width="121" style="439" customWidth="1"/>
    <col min="1025" max="1025" width="37.1640625" style="439" customWidth="1"/>
    <col min="1026" max="1027" width="35.83203125" style="439" customWidth="1"/>
    <col min="1028" max="1029" width="18.1640625" style="439" customWidth="1"/>
    <col min="1030" max="1030" width="15" style="439" bestFit="1" customWidth="1"/>
    <col min="1031" max="1031" width="17.5" style="439" customWidth="1"/>
    <col min="1032" max="1273" width="9.33203125" style="439"/>
    <col min="1274" max="1274" width="14.33203125" style="439" customWidth="1"/>
    <col min="1275" max="1275" width="121" style="439" customWidth="1"/>
    <col min="1276" max="1276" width="37.6640625" style="439" customWidth="1"/>
    <col min="1277" max="1278" width="35.83203125" style="439" customWidth="1"/>
    <col min="1279" max="1279" width="14.33203125" style="439" customWidth="1"/>
    <col min="1280" max="1280" width="121" style="439" customWidth="1"/>
    <col min="1281" max="1281" width="37.1640625" style="439" customWidth="1"/>
    <col min="1282" max="1283" width="35.83203125" style="439" customWidth="1"/>
    <col min="1284" max="1285" width="18.1640625" style="439" customWidth="1"/>
    <col min="1286" max="1286" width="15" style="439" bestFit="1" customWidth="1"/>
    <col min="1287" max="1287" width="17.5" style="439" customWidth="1"/>
    <col min="1288" max="1529" width="9.33203125" style="439"/>
    <col min="1530" max="1530" width="14.33203125" style="439" customWidth="1"/>
    <col min="1531" max="1531" width="121" style="439" customWidth="1"/>
    <col min="1532" max="1532" width="37.6640625" style="439" customWidth="1"/>
    <col min="1533" max="1534" width="35.83203125" style="439" customWidth="1"/>
    <col min="1535" max="1535" width="14.33203125" style="439" customWidth="1"/>
    <col min="1536" max="1536" width="121" style="439" customWidth="1"/>
    <col min="1537" max="1537" width="37.1640625" style="439" customWidth="1"/>
    <col min="1538" max="1539" width="35.83203125" style="439" customWidth="1"/>
    <col min="1540" max="1541" width="18.1640625" style="439" customWidth="1"/>
    <col min="1542" max="1542" width="15" style="439" bestFit="1" customWidth="1"/>
    <col min="1543" max="1543" width="17.5" style="439" customWidth="1"/>
    <col min="1544" max="1785" width="9.33203125" style="439"/>
    <col min="1786" max="1786" width="14.33203125" style="439" customWidth="1"/>
    <col min="1787" max="1787" width="121" style="439" customWidth="1"/>
    <col min="1788" max="1788" width="37.6640625" style="439" customWidth="1"/>
    <col min="1789" max="1790" width="35.83203125" style="439" customWidth="1"/>
    <col min="1791" max="1791" width="14.33203125" style="439" customWidth="1"/>
    <col min="1792" max="1792" width="121" style="439" customWidth="1"/>
    <col min="1793" max="1793" width="37.1640625" style="439" customWidth="1"/>
    <col min="1794" max="1795" width="35.83203125" style="439" customWidth="1"/>
    <col min="1796" max="1797" width="18.1640625" style="439" customWidth="1"/>
    <col min="1798" max="1798" width="15" style="439" bestFit="1" customWidth="1"/>
    <col min="1799" max="1799" width="17.5" style="439" customWidth="1"/>
    <col min="1800" max="2041" width="9.33203125" style="439"/>
    <col min="2042" max="2042" width="14.33203125" style="439" customWidth="1"/>
    <col min="2043" max="2043" width="121" style="439" customWidth="1"/>
    <col min="2044" max="2044" width="37.6640625" style="439" customWidth="1"/>
    <col min="2045" max="2046" width="35.83203125" style="439" customWidth="1"/>
    <col min="2047" max="2047" width="14.33203125" style="439" customWidth="1"/>
    <col min="2048" max="2048" width="121" style="439" customWidth="1"/>
    <col min="2049" max="2049" width="37.1640625" style="439" customWidth="1"/>
    <col min="2050" max="2051" width="35.83203125" style="439" customWidth="1"/>
    <col min="2052" max="2053" width="18.1640625" style="439" customWidth="1"/>
    <col min="2054" max="2054" width="15" style="439" bestFit="1" customWidth="1"/>
    <col min="2055" max="2055" width="17.5" style="439" customWidth="1"/>
    <col min="2056" max="2297" width="9.33203125" style="439"/>
    <col min="2298" max="2298" width="14.33203125" style="439" customWidth="1"/>
    <col min="2299" max="2299" width="121" style="439" customWidth="1"/>
    <col min="2300" max="2300" width="37.6640625" style="439" customWidth="1"/>
    <col min="2301" max="2302" width="35.83203125" style="439" customWidth="1"/>
    <col min="2303" max="2303" width="14.33203125" style="439" customWidth="1"/>
    <col min="2304" max="2304" width="121" style="439" customWidth="1"/>
    <col min="2305" max="2305" width="37.1640625" style="439" customWidth="1"/>
    <col min="2306" max="2307" width="35.83203125" style="439" customWidth="1"/>
    <col min="2308" max="2309" width="18.1640625" style="439" customWidth="1"/>
    <col min="2310" max="2310" width="15" style="439" bestFit="1" customWidth="1"/>
    <col min="2311" max="2311" width="17.5" style="439" customWidth="1"/>
    <col min="2312" max="2553" width="9.33203125" style="439"/>
    <col min="2554" max="2554" width="14.33203125" style="439" customWidth="1"/>
    <col min="2555" max="2555" width="121" style="439" customWidth="1"/>
    <col min="2556" max="2556" width="37.6640625" style="439" customWidth="1"/>
    <col min="2557" max="2558" width="35.83203125" style="439" customWidth="1"/>
    <col min="2559" max="2559" width="14.33203125" style="439" customWidth="1"/>
    <col min="2560" max="2560" width="121" style="439" customWidth="1"/>
    <col min="2561" max="2561" width="37.1640625" style="439" customWidth="1"/>
    <col min="2562" max="2563" width="35.83203125" style="439" customWidth="1"/>
    <col min="2564" max="2565" width="18.1640625" style="439" customWidth="1"/>
    <col min="2566" max="2566" width="15" style="439" bestFit="1" customWidth="1"/>
    <col min="2567" max="2567" width="17.5" style="439" customWidth="1"/>
    <col min="2568" max="2809" width="9.33203125" style="439"/>
    <col min="2810" max="2810" width="14.33203125" style="439" customWidth="1"/>
    <col min="2811" max="2811" width="121" style="439" customWidth="1"/>
    <col min="2812" max="2812" width="37.6640625" style="439" customWidth="1"/>
    <col min="2813" max="2814" width="35.83203125" style="439" customWidth="1"/>
    <col min="2815" max="2815" width="14.33203125" style="439" customWidth="1"/>
    <col min="2816" max="2816" width="121" style="439" customWidth="1"/>
    <col min="2817" max="2817" width="37.1640625" style="439" customWidth="1"/>
    <col min="2818" max="2819" width="35.83203125" style="439" customWidth="1"/>
    <col min="2820" max="2821" width="18.1640625" style="439" customWidth="1"/>
    <col min="2822" max="2822" width="15" style="439" bestFit="1" customWidth="1"/>
    <col min="2823" max="2823" width="17.5" style="439" customWidth="1"/>
    <col min="2824" max="3065" width="9.33203125" style="439"/>
    <col min="3066" max="3066" width="14.33203125" style="439" customWidth="1"/>
    <col min="3067" max="3067" width="121" style="439" customWidth="1"/>
    <col min="3068" max="3068" width="37.6640625" style="439" customWidth="1"/>
    <col min="3069" max="3070" width="35.83203125" style="439" customWidth="1"/>
    <col min="3071" max="3071" width="14.33203125" style="439" customWidth="1"/>
    <col min="3072" max="3072" width="121" style="439" customWidth="1"/>
    <col min="3073" max="3073" width="37.1640625" style="439" customWidth="1"/>
    <col min="3074" max="3075" width="35.83203125" style="439" customWidth="1"/>
    <col min="3076" max="3077" width="18.1640625" style="439" customWidth="1"/>
    <col min="3078" max="3078" width="15" style="439" bestFit="1" customWidth="1"/>
    <col min="3079" max="3079" width="17.5" style="439" customWidth="1"/>
    <col min="3080" max="3321" width="9.33203125" style="439"/>
    <col min="3322" max="3322" width="14.33203125" style="439" customWidth="1"/>
    <col min="3323" max="3323" width="121" style="439" customWidth="1"/>
    <col min="3324" max="3324" width="37.6640625" style="439" customWidth="1"/>
    <col min="3325" max="3326" width="35.83203125" style="439" customWidth="1"/>
    <col min="3327" max="3327" width="14.33203125" style="439" customWidth="1"/>
    <col min="3328" max="3328" width="121" style="439" customWidth="1"/>
    <col min="3329" max="3329" width="37.1640625" style="439" customWidth="1"/>
    <col min="3330" max="3331" width="35.83203125" style="439" customWidth="1"/>
    <col min="3332" max="3333" width="18.1640625" style="439" customWidth="1"/>
    <col min="3334" max="3334" width="15" style="439" bestFit="1" customWidth="1"/>
    <col min="3335" max="3335" width="17.5" style="439" customWidth="1"/>
    <col min="3336" max="3577" width="9.33203125" style="439"/>
    <col min="3578" max="3578" width="14.33203125" style="439" customWidth="1"/>
    <col min="3579" max="3579" width="121" style="439" customWidth="1"/>
    <col min="3580" max="3580" width="37.6640625" style="439" customWidth="1"/>
    <col min="3581" max="3582" width="35.83203125" style="439" customWidth="1"/>
    <col min="3583" max="3583" width="14.33203125" style="439" customWidth="1"/>
    <col min="3584" max="3584" width="121" style="439" customWidth="1"/>
    <col min="3585" max="3585" width="37.1640625" style="439" customWidth="1"/>
    <col min="3586" max="3587" width="35.83203125" style="439" customWidth="1"/>
    <col min="3588" max="3589" width="18.1640625" style="439" customWidth="1"/>
    <col min="3590" max="3590" width="15" style="439" bestFit="1" customWidth="1"/>
    <col min="3591" max="3591" width="17.5" style="439" customWidth="1"/>
    <col min="3592" max="3833" width="9.33203125" style="439"/>
    <col min="3834" max="3834" width="14.33203125" style="439" customWidth="1"/>
    <col min="3835" max="3835" width="121" style="439" customWidth="1"/>
    <col min="3836" max="3836" width="37.6640625" style="439" customWidth="1"/>
    <col min="3837" max="3838" width="35.83203125" style="439" customWidth="1"/>
    <col min="3839" max="3839" width="14.33203125" style="439" customWidth="1"/>
    <col min="3840" max="3840" width="121" style="439" customWidth="1"/>
    <col min="3841" max="3841" width="37.1640625" style="439" customWidth="1"/>
    <col min="3842" max="3843" width="35.83203125" style="439" customWidth="1"/>
    <col min="3844" max="3845" width="18.1640625" style="439" customWidth="1"/>
    <col min="3846" max="3846" width="15" style="439" bestFit="1" customWidth="1"/>
    <col min="3847" max="3847" width="17.5" style="439" customWidth="1"/>
    <col min="3848" max="4089" width="9.33203125" style="439"/>
    <col min="4090" max="4090" width="14.33203125" style="439" customWidth="1"/>
    <col min="4091" max="4091" width="121" style="439" customWidth="1"/>
    <col min="4092" max="4092" width="37.6640625" style="439" customWidth="1"/>
    <col min="4093" max="4094" width="35.83203125" style="439" customWidth="1"/>
    <col min="4095" max="4095" width="14.33203125" style="439" customWidth="1"/>
    <col min="4096" max="4096" width="121" style="439" customWidth="1"/>
    <col min="4097" max="4097" width="37.1640625" style="439" customWidth="1"/>
    <col min="4098" max="4099" width="35.83203125" style="439" customWidth="1"/>
    <col min="4100" max="4101" width="18.1640625" style="439" customWidth="1"/>
    <col min="4102" max="4102" width="15" style="439" bestFit="1" customWidth="1"/>
    <col min="4103" max="4103" width="17.5" style="439" customWidth="1"/>
    <col min="4104" max="4345" width="9.33203125" style="439"/>
    <col min="4346" max="4346" width="14.33203125" style="439" customWidth="1"/>
    <col min="4347" max="4347" width="121" style="439" customWidth="1"/>
    <col min="4348" max="4348" width="37.6640625" style="439" customWidth="1"/>
    <col min="4349" max="4350" width="35.83203125" style="439" customWidth="1"/>
    <col min="4351" max="4351" width="14.33203125" style="439" customWidth="1"/>
    <col min="4352" max="4352" width="121" style="439" customWidth="1"/>
    <col min="4353" max="4353" width="37.1640625" style="439" customWidth="1"/>
    <col min="4354" max="4355" width="35.83203125" style="439" customWidth="1"/>
    <col min="4356" max="4357" width="18.1640625" style="439" customWidth="1"/>
    <col min="4358" max="4358" width="15" style="439" bestFit="1" customWidth="1"/>
    <col min="4359" max="4359" width="17.5" style="439" customWidth="1"/>
    <col min="4360" max="4601" width="9.33203125" style="439"/>
    <col min="4602" max="4602" width="14.33203125" style="439" customWidth="1"/>
    <col min="4603" max="4603" width="121" style="439" customWidth="1"/>
    <col min="4604" max="4604" width="37.6640625" style="439" customWidth="1"/>
    <col min="4605" max="4606" width="35.83203125" style="439" customWidth="1"/>
    <col min="4607" max="4607" width="14.33203125" style="439" customWidth="1"/>
    <col min="4608" max="4608" width="121" style="439" customWidth="1"/>
    <col min="4609" max="4609" width="37.1640625" style="439" customWidth="1"/>
    <col min="4610" max="4611" width="35.83203125" style="439" customWidth="1"/>
    <col min="4612" max="4613" width="18.1640625" style="439" customWidth="1"/>
    <col min="4614" max="4614" width="15" style="439" bestFit="1" customWidth="1"/>
    <col min="4615" max="4615" width="17.5" style="439" customWidth="1"/>
    <col min="4616" max="4857" width="9.33203125" style="439"/>
    <col min="4858" max="4858" width="14.33203125" style="439" customWidth="1"/>
    <col min="4859" max="4859" width="121" style="439" customWidth="1"/>
    <col min="4860" max="4860" width="37.6640625" style="439" customWidth="1"/>
    <col min="4861" max="4862" width="35.83203125" style="439" customWidth="1"/>
    <col min="4863" max="4863" width="14.33203125" style="439" customWidth="1"/>
    <col min="4864" max="4864" width="121" style="439" customWidth="1"/>
    <col min="4865" max="4865" width="37.1640625" style="439" customWidth="1"/>
    <col min="4866" max="4867" width="35.83203125" style="439" customWidth="1"/>
    <col min="4868" max="4869" width="18.1640625" style="439" customWidth="1"/>
    <col min="4870" max="4870" width="15" style="439" bestFit="1" customWidth="1"/>
    <col min="4871" max="4871" width="17.5" style="439" customWidth="1"/>
    <col min="4872" max="5113" width="9.33203125" style="439"/>
    <col min="5114" max="5114" width="14.33203125" style="439" customWidth="1"/>
    <col min="5115" max="5115" width="121" style="439" customWidth="1"/>
    <col min="5116" max="5116" width="37.6640625" style="439" customWidth="1"/>
    <col min="5117" max="5118" width="35.83203125" style="439" customWidth="1"/>
    <col min="5119" max="5119" width="14.33203125" style="439" customWidth="1"/>
    <col min="5120" max="5120" width="121" style="439" customWidth="1"/>
    <col min="5121" max="5121" width="37.1640625" style="439" customWidth="1"/>
    <col min="5122" max="5123" width="35.83203125" style="439" customWidth="1"/>
    <col min="5124" max="5125" width="18.1640625" style="439" customWidth="1"/>
    <col min="5126" max="5126" width="15" style="439" bestFit="1" customWidth="1"/>
    <col min="5127" max="5127" width="17.5" style="439" customWidth="1"/>
    <col min="5128" max="5369" width="9.33203125" style="439"/>
    <col min="5370" max="5370" width="14.33203125" style="439" customWidth="1"/>
    <col min="5371" max="5371" width="121" style="439" customWidth="1"/>
    <col min="5372" max="5372" width="37.6640625" style="439" customWidth="1"/>
    <col min="5373" max="5374" width="35.83203125" style="439" customWidth="1"/>
    <col min="5375" max="5375" width="14.33203125" style="439" customWidth="1"/>
    <col min="5376" max="5376" width="121" style="439" customWidth="1"/>
    <col min="5377" max="5377" width="37.1640625" style="439" customWidth="1"/>
    <col min="5378" max="5379" width="35.83203125" style="439" customWidth="1"/>
    <col min="5380" max="5381" width="18.1640625" style="439" customWidth="1"/>
    <col min="5382" max="5382" width="15" style="439" bestFit="1" customWidth="1"/>
    <col min="5383" max="5383" width="17.5" style="439" customWidth="1"/>
    <col min="5384" max="5625" width="9.33203125" style="439"/>
    <col min="5626" max="5626" width="14.33203125" style="439" customWidth="1"/>
    <col min="5627" max="5627" width="121" style="439" customWidth="1"/>
    <col min="5628" max="5628" width="37.6640625" style="439" customWidth="1"/>
    <col min="5629" max="5630" width="35.83203125" style="439" customWidth="1"/>
    <col min="5631" max="5631" width="14.33203125" style="439" customWidth="1"/>
    <col min="5632" max="5632" width="121" style="439" customWidth="1"/>
    <col min="5633" max="5633" width="37.1640625" style="439" customWidth="1"/>
    <col min="5634" max="5635" width="35.83203125" style="439" customWidth="1"/>
    <col min="5636" max="5637" width="18.1640625" style="439" customWidth="1"/>
    <col min="5638" max="5638" width="15" style="439" bestFit="1" customWidth="1"/>
    <col min="5639" max="5639" width="17.5" style="439" customWidth="1"/>
    <col min="5640" max="5881" width="9.33203125" style="439"/>
    <col min="5882" max="5882" width="14.33203125" style="439" customWidth="1"/>
    <col min="5883" max="5883" width="121" style="439" customWidth="1"/>
    <col min="5884" max="5884" width="37.6640625" style="439" customWidth="1"/>
    <col min="5885" max="5886" width="35.83203125" style="439" customWidth="1"/>
    <col min="5887" max="5887" width="14.33203125" style="439" customWidth="1"/>
    <col min="5888" max="5888" width="121" style="439" customWidth="1"/>
    <col min="5889" max="5889" width="37.1640625" style="439" customWidth="1"/>
    <col min="5890" max="5891" width="35.83203125" style="439" customWidth="1"/>
    <col min="5892" max="5893" width="18.1640625" style="439" customWidth="1"/>
    <col min="5894" max="5894" width="15" style="439" bestFit="1" customWidth="1"/>
    <col min="5895" max="5895" width="17.5" style="439" customWidth="1"/>
    <col min="5896" max="6137" width="9.33203125" style="439"/>
    <col min="6138" max="6138" width="14.33203125" style="439" customWidth="1"/>
    <col min="6139" max="6139" width="121" style="439" customWidth="1"/>
    <col min="6140" max="6140" width="37.6640625" style="439" customWidth="1"/>
    <col min="6141" max="6142" width="35.83203125" style="439" customWidth="1"/>
    <col min="6143" max="6143" width="14.33203125" style="439" customWidth="1"/>
    <col min="6144" max="6144" width="121" style="439" customWidth="1"/>
    <col min="6145" max="6145" width="37.1640625" style="439" customWidth="1"/>
    <col min="6146" max="6147" width="35.83203125" style="439" customWidth="1"/>
    <col min="6148" max="6149" width="18.1640625" style="439" customWidth="1"/>
    <col min="6150" max="6150" width="15" style="439" bestFit="1" customWidth="1"/>
    <col min="6151" max="6151" width="17.5" style="439" customWidth="1"/>
    <col min="6152" max="6393" width="9.33203125" style="439"/>
    <col min="6394" max="6394" width="14.33203125" style="439" customWidth="1"/>
    <col min="6395" max="6395" width="121" style="439" customWidth="1"/>
    <col min="6396" max="6396" width="37.6640625" style="439" customWidth="1"/>
    <col min="6397" max="6398" width="35.83203125" style="439" customWidth="1"/>
    <col min="6399" max="6399" width="14.33203125" style="439" customWidth="1"/>
    <col min="6400" max="6400" width="121" style="439" customWidth="1"/>
    <col min="6401" max="6401" width="37.1640625" style="439" customWidth="1"/>
    <col min="6402" max="6403" width="35.83203125" style="439" customWidth="1"/>
    <col min="6404" max="6405" width="18.1640625" style="439" customWidth="1"/>
    <col min="6406" max="6406" width="15" style="439" bestFit="1" customWidth="1"/>
    <col min="6407" max="6407" width="17.5" style="439" customWidth="1"/>
    <col min="6408" max="6649" width="9.33203125" style="439"/>
    <col min="6650" max="6650" width="14.33203125" style="439" customWidth="1"/>
    <col min="6651" max="6651" width="121" style="439" customWidth="1"/>
    <col min="6652" max="6652" width="37.6640625" style="439" customWidth="1"/>
    <col min="6653" max="6654" width="35.83203125" style="439" customWidth="1"/>
    <col min="6655" max="6655" width="14.33203125" style="439" customWidth="1"/>
    <col min="6656" max="6656" width="121" style="439" customWidth="1"/>
    <col min="6657" max="6657" width="37.1640625" style="439" customWidth="1"/>
    <col min="6658" max="6659" width="35.83203125" style="439" customWidth="1"/>
    <col min="6660" max="6661" width="18.1640625" style="439" customWidth="1"/>
    <col min="6662" max="6662" width="15" style="439" bestFit="1" customWidth="1"/>
    <col min="6663" max="6663" width="17.5" style="439" customWidth="1"/>
    <col min="6664" max="6905" width="9.33203125" style="439"/>
    <col min="6906" max="6906" width="14.33203125" style="439" customWidth="1"/>
    <col min="6907" max="6907" width="121" style="439" customWidth="1"/>
    <col min="6908" max="6908" width="37.6640625" style="439" customWidth="1"/>
    <col min="6909" max="6910" width="35.83203125" style="439" customWidth="1"/>
    <col min="6911" max="6911" width="14.33203125" style="439" customWidth="1"/>
    <col min="6912" max="6912" width="121" style="439" customWidth="1"/>
    <col min="6913" max="6913" width="37.1640625" style="439" customWidth="1"/>
    <col min="6914" max="6915" width="35.83203125" style="439" customWidth="1"/>
    <col min="6916" max="6917" width="18.1640625" style="439" customWidth="1"/>
    <col min="6918" max="6918" width="15" style="439" bestFit="1" customWidth="1"/>
    <col min="6919" max="6919" width="17.5" style="439" customWidth="1"/>
    <col min="6920" max="7161" width="9.33203125" style="439"/>
    <col min="7162" max="7162" width="14.33203125" style="439" customWidth="1"/>
    <col min="7163" max="7163" width="121" style="439" customWidth="1"/>
    <col min="7164" max="7164" width="37.6640625" style="439" customWidth="1"/>
    <col min="7165" max="7166" width="35.83203125" style="439" customWidth="1"/>
    <col min="7167" max="7167" width="14.33203125" style="439" customWidth="1"/>
    <col min="7168" max="7168" width="121" style="439" customWidth="1"/>
    <col min="7169" max="7169" width="37.1640625" style="439" customWidth="1"/>
    <col min="7170" max="7171" width="35.83203125" style="439" customWidth="1"/>
    <col min="7172" max="7173" width="18.1640625" style="439" customWidth="1"/>
    <col min="7174" max="7174" width="15" style="439" bestFit="1" customWidth="1"/>
    <col min="7175" max="7175" width="17.5" style="439" customWidth="1"/>
    <col min="7176" max="7417" width="9.33203125" style="439"/>
    <col min="7418" max="7418" width="14.33203125" style="439" customWidth="1"/>
    <col min="7419" max="7419" width="121" style="439" customWidth="1"/>
    <col min="7420" max="7420" width="37.6640625" style="439" customWidth="1"/>
    <col min="7421" max="7422" width="35.83203125" style="439" customWidth="1"/>
    <col min="7423" max="7423" width="14.33203125" style="439" customWidth="1"/>
    <col min="7424" max="7424" width="121" style="439" customWidth="1"/>
    <col min="7425" max="7425" width="37.1640625" style="439" customWidth="1"/>
    <col min="7426" max="7427" width="35.83203125" style="439" customWidth="1"/>
    <col min="7428" max="7429" width="18.1640625" style="439" customWidth="1"/>
    <col min="7430" max="7430" width="15" style="439" bestFit="1" customWidth="1"/>
    <col min="7431" max="7431" width="17.5" style="439" customWidth="1"/>
    <col min="7432" max="7673" width="9.33203125" style="439"/>
    <col min="7674" max="7674" width="14.33203125" style="439" customWidth="1"/>
    <col min="7675" max="7675" width="121" style="439" customWidth="1"/>
    <col min="7676" max="7676" width="37.6640625" style="439" customWidth="1"/>
    <col min="7677" max="7678" width="35.83203125" style="439" customWidth="1"/>
    <col min="7679" max="7679" width="14.33203125" style="439" customWidth="1"/>
    <col min="7680" max="7680" width="121" style="439" customWidth="1"/>
    <col min="7681" max="7681" width="37.1640625" style="439" customWidth="1"/>
    <col min="7682" max="7683" width="35.83203125" style="439" customWidth="1"/>
    <col min="7684" max="7685" width="18.1640625" style="439" customWidth="1"/>
    <col min="7686" max="7686" width="15" style="439" bestFit="1" customWidth="1"/>
    <col min="7687" max="7687" width="17.5" style="439" customWidth="1"/>
    <col min="7688" max="7929" width="9.33203125" style="439"/>
    <col min="7930" max="7930" width="14.33203125" style="439" customWidth="1"/>
    <col min="7931" max="7931" width="121" style="439" customWidth="1"/>
    <col min="7932" max="7932" width="37.6640625" style="439" customWidth="1"/>
    <col min="7933" max="7934" width="35.83203125" style="439" customWidth="1"/>
    <col min="7935" max="7935" width="14.33203125" style="439" customWidth="1"/>
    <col min="7936" max="7936" width="121" style="439" customWidth="1"/>
    <col min="7937" max="7937" width="37.1640625" style="439" customWidth="1"/>
    <col min="7938" max="7939" width="35.83203125" style="439" customWidth="1"/>
    <col min="7940" max="7941" width="18.1640625" style="439" customWidth="1"/>
    <col min="7942" max="7942" width="15" style="439" bestFit="1" customWidth="1"/>
    <col min="7943" max="7943" width="17.5" style="439" customWidth="1"/>
    <col min="7944" max="8185" width="9.33203125" style="439"/>
    <col min="8186" max="8186" width="14.33203125" style="439" customWidth="1"/>
    <col min="8187" max="8187" width="121" style="439" customWidth="1"/>
    <col min="8188" max="8188" width="37.6640625" style="439" customWidth="1"/>
    <col min="8189" max="8190" width="35.83203125" style="439" customWidth="1"/>
    <col min="8191" max="8191" width="14.33203125" style="439" customWidth="1"/>
    <col min="8192" max="8192" width="121" style="439" customWidth="1"/>
    <col min="8193" max="8193" width="37.1640625" style="439" customWidth="1"/>
    <col min="8194" max="8195" width="35.83203125" style="439" customWidth="1"/>
    <col min="8196" max="8197" width="18.1640625" style="439" customWidth="1"/>
    <col min="8198" max="8198" width="15" style="439" bestFit="1" customWidth="1"/>
    <col min="8199" max="8199" width="17.5" style="439" customWidth="1"/>
    <col min="8200" max="8441" width="9.33203125" style="439"/>
    <col min="8442" max="8442" width="14.33203125" style="439" customWidth="1"/>
    <col min="8443" max="8443" width="121" style="439" customWidth="1"/>
    <col min="8444" max="8444" width="37.6640625" style="439" customWidth="1"/>
    <col min="8445" max="8446" width="35.83203125" style="439" customWidth="1"/>
    <col min="8447" max="8447" width="14.33203125" style="439" customWidth="1"/>
    <col min="8448" max="8448" width="121" style="439" customWidth="1"/>
    <col min="8449" max="8449" width="37.1640625" style="439" customWidth="1"/>
    <col min="8450" max="8451" width="35.83203125" style="439" customWidth="1"/>
    <col min="8452" max="8453" width="18.1640625" style="439" customWidth="1"/>
    <col min="8454" max="8454" width="15" style="439" bestFit="1" customWidth="1"/>
    <col min="8455" max="8455" width="17.5" style="439" customWidth="1"/>
    <col min="8456" max="8697" width="9.33203125" style="439"/>
    <col min="8698" max="8698" width="14.33203125" style="439" customWidth="1"/>
    <col min="8699" max="8699" width="121" style="439" customWidth="1"/>
    <col min="8700" max="8700" width="37.6640625" style="439" customWidth="1"/>
    <col min="8701" max="8702" width="35.83203125" style="439" customWidth="1"/>
    <col min="8703" max="8703" width="14.33203125" style="439" customWidth="1"/>
    <col min="8704" max="8704" width="121" style="439" customWidth="1"/>
    <col min="8705" max="8705" width="37.1640625" style="439" customWidth="1"/>
    <col min="8706" max="8707" width="35.83203125" style="439" customWidth="1"/>
    <col min="8708" max="8709" width="18.1640625" style="439" customWidth="1"/>
    <col min="8710" max="8710" width="15" style="439" bestFit="1" customWidth="1"/>
    <col min="8711" max="8711" width="17.5" style="439" customWidth="1"/>
    <col min="8712" max="8953" width="9.33203125" style="439"/>
    <col min="8954" max="8954" width="14.33203125" style="439" customWidth="1"/>
    <col min="8955" max="8955" width="121" style="439" customWidth="1"/>
    <col min="8956" max="8956" width="37.6640625" style="439" customWidth="1"/>
    <col min="8957" max="8958" width="35.83203125" style="439" customWidth="1"/>
    <col min="8959" max="8959" width="14.33203125" style="439" customWidth="1"/>
    <col min="8960" max="8960" width="121" style="439" customWidth="1"/>
    <col min="8961" max="8961" width="37.1640625" style="439" customWidth="1"/>
    <col min="8962" max="8963" width="35.83203125" style="439" customWidth="1"/>
    <col min="8964" max="8965" width="18.1640625" style="439" customWidth="1"/>
    <col min="8966" max="8966" width="15" style="439" bestFit="1" customWidth="1"/>
    <col min="8967" max="8967" width="17.5" style="439" customWidth="1"/>
    <col min="8968" max="9209" width="9.33203125" style="439"/>
    <col min="9210" max="9210" width="14.33203125" style="439" customWidth="1"/>
    <col min="9211" max="9211" width="121" style="439" customWidth="1"/>
    <col min="9212" max="9212" width="37.6640625" style="439" customWidth="1"/>
    <col min="9213" max="9214" width="35.83203125" style="439" customWidth="1"/>
    <col min="9215" max="9215" width="14.33203125" style="439" customWidth="1"/>
    <col min="9216" max="9216" width="121" style="439" customWidth="1"/>
    <col min="9217" max="9217" width="37.1640625" style="439" customWidth="1"/>
    <col min="9218" max="9219" width="35.83203125" style="439" customWidth="1"/>
    <col min="9220" max="9221" width="18.1640625" style="439" customWidth="1"/>
    <col min="9222" max="9222" width="15" style="439" bestFit="1" customWidth="1"/>
    <col min="9223" max="9223" width="17.5" style="439" customWidth="1"/>
    <col min="9224" max="9465" width="9.33203125" style="439"/>
    <col min="9466" max="9466" width="14.33203125" style="439" customWidth="1"/>
    <col min="9467" max="9467" width="121" style="439" customWidth="1"/>
    <col min="9468" max="9468" width="37.6640625" style="439" customWidth="1"/>
    <col min="9469" max="9470" width="35.83203125" style="439" customWidth="1"/>
    <col min="9471" max="9471" width="14.33203125" style="439" customWidth="1"/>
    <col min="9472" max="9472" width="121" style="439" customWidth="1"/>
    <col min="9473" max="9473" width="37.1640625" style="439" customWidth="1"/>
    <col min="9474" max="9475" width="35.83203125" style="439" customWidth="1"/>
    <col min="9476" max="9477" width="18.1640625" style="439" customWidth="1"/>
    <col min="9478" max="9478" width="15" style="439" bestFit="1" customWidth="1"/>
    <col min="9479" max="9479" width="17.5" style="439" customWidth="1"/>
    <col min="9480" max="9721" width="9.33203125" style="439"/>
    <col min="9722" max="9722" width="14.33203125" style="439" customWidth="1"/>
    <col min="9723" max="9723" width="121" style="439" customWidth="1"/>
    <col min="9724" max="9724" width="37.6640625" style="439" customWidth="1"/>
    <col min="9725" max="9726" width="35.83203125" style="439" customWidth="1"/>
    <col min="9727" max="9727" width="14.33203125" style="439" customWidth="1"/>
    <col min="9728" max="9728" width="121" style="439" customWidth="1"/>
    <col min="9729" max="9729" width="37.1640625" style="439" customWidth="1"/>
    <col min="9730" max="9731" width="35.83203125" style="439" customWidth="1"/>
    <col min="9732" max="9733" width="18.1640625" style="439" customWidth="1"/>
    <col min="9734" max="9734" width="15" style="439" bestFit="1" customWidth="1"/>
    <col min="9735" max="9735" width="17.5" style="439" customWidth="1"/>
    <col min="9736" max="9977" width="9.33203125" style="439"/>
    <col min="9978" max="9978" width="14.33203125" style="439" customWidth="1"/>
    <col min="9979" max="9979" width="121" style="439" customWidth="1"/>
    <col min="9980" max="9980" width="37.6640625" style="439" customWidth="1"/>
    <col min="9981" max="9982" width="35.83203125" style="439" customWidth="1"/>
    <col min="9983" max="9983" width="14.33203125" style="439" customWidth="1"/>
    <col min="9984" max="9984" width="121" style="439" customWidth="1"/>
    <col min="9985" max="9985" width="37.1640625" style="439" customWidth="1"/>
    <col min="9986" max="9987" width="35.83203125" style="439" customWidth="1"/>
    <col min="9988" max="9989" width="18.1640625" style="439" customWidth="1"/>
    <col min="9990" max="9990" width="15" style="439" bestFit="1" customWidth="1"/>
    <col min="9991" max="9991" width="17.5" style="439" customWidth="1"/>
    <col min="9992" max="10233" width="9.33203125" style="439"/>
    <col min="10234" max="10234" width="14.33203125" style="439" customWidth="1"/>
    <col min="10235" max="10235" width="121" style="439" customWidth="1"/>
    <col min="10236" max="10236" width="37.6640625" style="439" customWidth="1"/>
    <col min="10237" max="10238" width="35.83203125" style="439" customWidth="1"/>
    <col min="10239" max="10239" width="14.33203125" style="439" customWidth="1"/>
    <col min="10240" max="10240" width="121" style="439" customWidth="1"/>
    <col min="10241" max="10241" width="37.1640625" style="439" customWidth="1"/>
    <col min="10242" max="10243" width="35.83203125" style="439" customWidth="1"/>
    <col min="10244" max="10245" width="18.1640625" style="439" customWidth="1"/>
    <col min="10246" max="10246" width="15" style="439" bestFit="1" customWidth="1"/>
    <col min="10247" max="10247" width="17.5" style="439" customWidth="1"/>
    <col min="10248" max="10489" width="9.33203125" style="439"/>
    <col min="10490" max="10490" width="14.33203125" style="439" customWidth="1"/>
    <col min="10491" max="10491" width="121" style="439" customWidth="1"/>
    <col min="10492" max="10492" width="37.6640625" style="439" customWidth="1"/>
    <col min="10493" max="10494" width="35.83203125" style="439" customWidth="1"/>
    <col min="10495" max="10495" width="14.33203125" style="439" customWidth="1"/>
    <col min="10496" max="10496" width="121" style="439" customWidth="1"/>
    <col min="10497" max="10497" width="37.1640625" style="439" customWidth="1"/>
    <col min="10498" max="10499" width="35.83203125" style="439" customWidth="1"/>
    <col min="10500" max="10501" width="18.1640625" style="439" customWidth="1"/>
    <col min="10502" max="10502" width="15" style="439" bestFit="1" customWidth="1"/>
    <col min="10503" max="10503" width="17.5" style="439" customWidth="1"/>
    <col min="10504" max="10745" width="9.33203125" style="439"/>
    <col min="10746" max="10746" width="14.33203125" style="439" customWidth="1"/>
    <col min="10747" max="10747" width="121" style="439" customWidth="1"/>
    <col min="10748" max="10748" width="37.6640625" style="439" customWidth="1"/>
    <col min="10749" max="10750" width="35.83203125" style="439" customWidth="1"/>
    <col min="10751" max="10751" width="14.33203125" style="439" customWidth="1"/>
    <col min="10752" max="10752" width="121" style="439" customWidth="1"/>
    <col min="10753" max="10753" width="37.1640625" style="439" customWidth="1"/>
    <col min="10754" max="10755" width="35.83203125" style="439" customWidth="1"/>
    <col min="10756" max="10757" width="18.1640625" style="439" customWidth="1"/>
    <col min="10758" max="10758" width="15" style="439" bestFit="1" customWidth="1"/>
    <col min="10759" max="10759" width="17.5" style="439" customWidth="1"/>
    <col min="10760" max="11001" width="9.33203125" style="439"/>
    <col min="11002" max="11002" width="14.33203125" style="439" customWidth="1"/>
    <col min="11003" max="11003" width="121" style="439" customWidth="1"/>
    <col min="11004" max="11004" width="37.6640625" style="439" customWidth="1"/>
    <col min="11005" max="11006" width="35.83203125" style="439" customWidth="1"/>
    <col min="11007" max="11007" width="14.33203125" style="439" customWidth="1"/>
    <col min="11008" max="11008" width="121" style="439" customWidth="1"/>
    <col min="11009" max="11009" width="37.1640625" style="439" customWidth="1"/>
    <col min="11010" max="11011" width="35.83203125" style="439" customWidth="1"/>
    <col min="11012" max="11013" width="18.1640625" style="439" customWidth="1"/>
    <col min="11014" max="11014" width="15" style="439" bestFit="1" customWidth="1"/>
    <col min="11015" max="11015" width="17.5" style="439" customWidth="1"/>
    <col min="11016" max="11257" width="9.33203125" style="439"/>
    <col min="11258" max="11258" width="14.33203125" style="439" customWidth="1"/>
    <col min="11259" max="11259" width="121" style="439" customWidth="1"/>
    <col min="11260" max="11260" width="37.6640625" style="439" customWidth="1"/>
    <col min="11261" max="11262" width="35.83203125" style="439" customWidth="1"/>
    <col min="11263" max="11263" width="14.33203125" style="439" customWidth="1"/>
    <col min="11264" max="11264" width="121" style="439" customWidth="1"/>
    <col min="11265" max="11265" width="37.1640625" style="439" customWidth="1"/>
    <col min="11266" max="11267" width="35.83203125" style="439" customWidth="1"/>
    <col min="11268" max="11269" width="18.1640625" style="439" customWidth="1"/>
    <col min="11270" max="11270" width="15" style="439" bestFit="1" customWidth="1"/>
    <col min="11271" max="11271" width="17.5" style="439" customWidth="1"/>
    <col min="11272" max="11513" width="9.33203125" style="439"/>
    <col min="11514" max="11514" width="14.33203125" style="439" customWidth="1"/>
    <col min="11515" max="11515" width="121" style="439" customWidth="1"/>
    <col min="11516" max="11516" width="37.6640625" style="439" customWidth="1"/>
    <col min="11517" max="11518" width="35.83203125" style="439" customWidth="1"/>
    <col min="11519" max="11519" width="14.33203125" style="439" customWidth="1"/>
    <col min="11520" max="11520" width="121" style="439" customWidth="1"/>
    <col min="11521" max="11521" width="37.1640625" style="439" customWidth="1"/>
    <col min="11522" max="11523" width="35.83203125" style="439" customWidth="1"/>
    <col min="11524" max="11525" width="18.1640625" style="439" customWidth="1"/>
    <col min="11526" max="11526" width="15" style="439" bestFit="1" customWidth="1"/>
    <col min="11527" max="11527" width="17.5" style="439" customWidth="1"/>
    <col min="11528" max="11769" width="9.33203125" style="439"/>
    <col min="11770" max="11770" width="14.33203125" style="439" customWidth="1"/>
    <col min="11771" max="11771" width="121" style="439" customWidth="1"/>
    <col min="11772" max="11772" width="37.6640625" style="439" customWidth="1"/>
    <col min="11773" max="11774" width="35.83203125" style="439" customWidth="1"/>
    <col min="11775" max="11775" width="14.33203125" style="439" customWidth="1"/>
    <col min="11776" max="11776" width="121" style="439" customWidth="1"/>
    <col min="11777" max="11777" width="37.1640625" style="439" customWidth="1"/>
    <col min="11778" max="11779" width="35.83203125" style="439" customWidth="1"/>
    <col min="11780" max="11781" width="18.1640625" style="439" customWidth="1"/>
    <col min="11782" max="11782" width="15" style="439" bestFit="1" customWidth="1"/>
    <col min="11783" max="11783" width="17.5" style="439" customWidth="1"/>
    <col min="11784" max="12025" width="9.33203125" style="439"/>
    <col min="12026" max="12026" width="14.33203125" style="439" customWidth="1"/>
    <col min="12027" max="12027" width="121" style="439" customWidth="1"/>
    <col min="12028" max="12028" width="37.6640625" style="439" customWidth="1"/>
    <col min="12029" max="12030" width="35.83203125" style="439" customWidth="1"/>
    <col min="12031" max="12031" width="14.33203125" style="439" customWidth="1"/>
    <col min="12032" max="12032" width="121" style="439" customWidth="1"/>
    <col min="12033" max="12033" width="37.1640625" style="439" customWidth="1"/>
    <col min="12034" max="12035" width="35.83203125" style="439" customWidth="1"/>
    <col min="12036" max="12037" width="18.1640625" style="439" customWidth="1"/>
    <col min="12038" max="12038" width="15" style="439" bestFit="1" customWidth="1"/>
    <col min="12039" max="12039" width="17.5" style="439" customWidth="1"/>
    <col min="12040" max="12281" width="9.33203125" style="439"/>
    <col min="12282" max="12282" width="14.33203125" style="439" customWidth="1"/>
    <col min="12283" max="12283" width="121" style="439" customWidth="1"/>
    <col min="12284" max="12284" width="37.6640625" style="439" customWidth="1"/>
    <col min="12285" max="12286" width="35.83203125" style="439" customWidth="1"/>
    <col min="12287" max="12287" width="14.33203125" style="439" customWidth="1"/>
    <col min="12288" max="12288" width="121" style="439" customWidth="1"/>
    <col min="12289" max="12289" width="37.1640625" style="439" customWidth="1"/>
    <col min="12290" max="12291" width="35.83203125" style="439" customWidth="1"/>
    <col min="12292" max="12293" width="18.1640625" style="439" customWidth="1"/>
    <col min="12294" max="12294" width="15" style="439" bestFit="1" customWidth="1"/>
    <col min="12295" max="12295" width="17.5" style="439" customWidth="1"/>
    <col min="12296" max="12537" width="9.33203125" style="439"/>
    <col min="12538" max="12538" width="14.33203125" style="439" customWidth="1"/>
    <col min="12539" max="12539" width="121" style="439" customWidth="1"/>
    <col min="12540" max="12540" width="37.6640625" style="439" customWidth="1"/>
    <col min="12541" max="12542" width="35.83203125" style="439" customWidth="1"/>
    <col min="12543" max="12543" width="14.33203125" style="439" customWidth="1"/>
    <col min="12544" max="12544" width="121" style="439" customWidth="1"/>
    <col min="12545" max="12545" width="37.1640625" style="439" customWidth="1"/>
    <col min="12546" max="12547" width="35.83203125" style="439" customWidth="1"/>
    <col min="12548" max="12549" width="18.1640625" style="439" customWidth="1"/>
    <col min="12550" max="12550" width="15" style="439" bestFit="1" customWidth="1"/>
    <col min="12551" max="12551" width="17.5" style="439" customWidth="1"/>
    <col min="12552" max="12793" width="9.33203125" style="439"/>
    <col min="12794" max="12794" width="14.33203125" style="439" customWidth="1"/>
    <col min="12795" max="12795" width="121" style="439" customWidth="1"/>
    <col min="12796" max="12796" width="37.6640625" style="439" customWidth="1"/>
    <col min="12797" max="12798" width="35.83203125" style="439" customWidth="1"/>
    <col min="12799" max="12799" width="14.33203125" style="439" customWidth="1"/>
    <col min="12800" max="12800" width="121" style="439" customWidth="1"/>
    <col min="12801" max="12801" width="37.1640625" style="439" customWidth="1"/>
    <col min="12802" max="12803" width="35.83203125" style="439" customWidth="1"/>
    <col min="12804" max="12805" width="18.1640625" style="439" customWidth="1"/>
    <col min="12806" max="12806" width="15" style="439" bestFit="1" customWidth="1"/>
    <col min="12807" max="12807" width="17.5" style="439" customWidth="1"/>
    <col min="12808" max="13049" width="9.33203125" style="439"/>
    <col min="13050" max="13050" width="14.33203125" style="439" customWidth="1"/>
    <col min="13051" max="13051" width="121" style="439" customWidth="1"/>
    <col min="13052" max="13052" width="37.6640625" style="439" customWidth="1"/>
    <col min="13053" max="13054" width="35.83203125" style="439" customWidth="1"/>
    <col min="13055" max="13055" width="14.33203125" style="439" customWidth="1"/>
    <col min="13056" max="13056" width="121" style="439" customWidth="1"/>
    <col min="13057" max="13057" width="37.1640625" style="439" customWidth="1"/>
    <col min="13058" max="13059" width="35.83203125" style="439" customWidth="1"/>
    <col min="13060" max="13061" width="18.1640625" style="439" customWidth="1"/>
    <col min="13062" max="13062" width="15" style="439" bestFit="1" customWidth="1"/>
    <col min="13063" max="13063" width="17.5" style="439" customWidth="1"/>
    <col min="13064" max="13305" width="9.33203125" style="439"/>
    <col min="13306" max="13306" width="14.33203125" style="439" customWidth="1"/>
    <col min="13307" max="13307" width="121" style="439" customWidth="1"/>
    <col min="13308" max="13308" width="37.6640625" style="439" customWidth="1"/>
    <col min="13309" max="13310" width="35.83203125" style="439" customWidth="1"/>
    <col min="13311" max="13311" width="14.33203125" style="439" customWidth="1"/>
    <col min="13312" max="13312" width="121" style="439" customWidth="1"/>
    <col min="13313" max="13313" width="37.1640625" style="439" customWidth="1"/>
    <col min="13314" max="13315" width="35.83203125" style="439" customWidth="1"/>
    <col min="13316" max="13317" width="18.1640625" style="439" customWidth="1"/>
    <col min="13318" max="13318" width="15" style="439" bestFit="1" customWidth="1"/>
    <col min="13319" max="13319" width="17.5" style="439" customWidth="1"/>
    <col min="13320" max="13561" width="9.33203125" style="439"/>
    <col min="13562" max="13562" width="14.33203125" style="439" customWidth="1"/>
    <col min="13563" max="13563" width="121" style="439" customWidth="1"/>
    <col min="13564" max="13564" width="37.6640625" style="439" customWidth="1"/>
    <col min="13565" max="13566" width="35.83203125" style="439" customWidth="1"/>
    <col min="13567" max="13567" width="14.33203125" style="439" customWidth="1"/>
    <col min="13568" max="13568" width="121" style="439" customWidth="1"/>
    <col min="13569" max="13569" width="37.1640625" style="439" customWidth="1"/>
    <col min="13570" max="13571" width="35.83203125" style="439" customWidth="1"/>
    <col min="13572" max="13573" width="18.1640625" style="439" customWidth="1"/>
    <col min="13574" max="13574" width="15" style="439" bestFit="1" customWidth="1"/>
    <col min="13575" max="13575" width="17.5" style="439" customWidth="1"/>
    <col min="13576" max="13817" width="9.33203125" style="439"/>
    <col min="13818" max="13818" width="14.33203125" style="439" customWidth="1"/>
    <col min="13819" max="13819" width="121" style="439" customWidth="1"/>
    <col min="13820" max="13820" width="37.6640625" style="439" customWidth="1"/>
    <col min="13821" max="13822" width="35.83203125" style="439" customWidth="1"/>
    <col min="13823" max="13823" width="14.33203125" style="439" customWidth="1"/>
    <col min="13824" max="13824" width="121" style="439" customWidth="1"/>
    <col min="13825" max="13825" width="37.1640625" style="439" customWidth="1"/>
    <col min="13826" max="13827" width="35.83203125" style="439" customWidth="1"/>
    <col min="13828" max="13829" width="18.1640625" style="439" customWidth="1"/>
    <col min="13830" max="13830" width="15" style="439" bestFit="1" customWidth="1"/>
    <col min="13831" max="13831" width="17.5" style="439" customWidth="1"/>
    <col min="13832" max="14073" width="9.33203125" style="439"/>
    <col min="14074" max="14074" width="14.33203125" style="439" customWidth="1"/>
    <col min="14075" max="14075" width="121" style="439" customWidth="1"/>
    <col min="14076" max="14076" width="37.6640625" style="439" customWidth="1"/>
    <col min="14077" max="14078" width="35.83203125" style="439" customWidth="1"/>
    <col min="14079" max="14079" width="14.33203125" style="439" customWidth="1"/>
    <col min="14080" max="14080" width="121" style="439" customWidth="1"/>
    <col min="14081" max="14081" width="37.1640625" style="439" customWidth="1"/>
    <col min="14082" max="14083" width="35.83203125" style="439" customWidth="1"/>
    <col min="14084" max="14085" width="18.1640625" style="439" customWidth="1"/>
    <col min="14086" max="14086" width="15" style="439" bestFit="1" customWidth="1"/>
    <col min="14087" max="14087" width="17.5" style="439" customWidth="1"/>
    <col min="14088" max="14329" width="9.33203125" style="439"/>
    <col min="14330" max="14330" width="14.33203125" style="439" customWidth="1"/>
    <col min="14331" max="14331" width="121" style="439" customWidth="1"/>
    <col min="14332" max="14332" width="37.6640625" style="439" customWidth="1"/>
    <col min="14333" max="14334" width="35.83203125" style="439" customWidth="1"/>
    <col min="14335" max="14335" width="14.33203125" style="439" customWidth="1"/>
    <col min="14336" max="14336" width="121" style="439" customWidth="1"/>
    <col min="14337" max="14337" width="37.1640625" style="439" customWidth="1"/>
    <col min="14338" max="14339" width="35.83203125" style="439" customWidth="1"/>
    <col min="14340" max="14341" width="18.1640625" style="439" customWidth="1"/>
    <col min="14342" max="14342" width="15" style="439" bestFit="1" customWidth="1"/>
    <col min="14343" max="14343" width="17.5" style="439" customWidth="1"/>
    <col min="14344" max="14585" width="9.33203125" style="439"/>
    <col min="14586" max="14586" width="14.33203125" style="439" customWidth="1"/>
    <col min="14587" max="14587" width="121" style="439" customWidth="1"/>
    <col min="14588" max="14588" width="37.6640625" style="439" customWidth="1"/>
    <col min="14589" max="14590" width="35.83203125" style="439" customWidth="1"/>
    <col min="14591" max="14591" width="14.33203125" style="439" customWidth="1"/>
    <col min="14592" max="14592" width="121" style="439" customWidth="1"/>
    <col min="14593" max="14593" width="37.1640625" style="439" customWidth="1"/>
    <col min="14594" max="14595" width="35.83203125" style="439" customWidth="1"/>
    <col min="14596" max="14597" width="18.1640625" style="439" customWidth="1"/>
    <col min="14598" max="14598" width="15" style="439" bestFit="1" customWidth="1"/>
    <col min="14599" max="14599" width="17.5" style="439" customWidth="1"/>
    <col min="14600" max="14841" width="9.33203125" style="439"/>
    <col min="14842" max="14842" width="14.33203125" style="439" customWidth="1"/>
    <col min="14843" max="14843" width="121" style="439" customWidth="1"/>
    <col min="14844" max="14844" width="37.6640625" style="439" customWidth="1"/>
    <col min="14845" max="14846" width="35.83203125" style="439" customWidth="1"/>
    <col min="14847" max="14847" width="14.33203125" style="439" customWidth="1"/>
    <col min="14848" max="14848" width="121" style="439" customWidth="1"/>
    <col min="14849" max="14849" width="37.1640625" style="439" customWidth="1"/>
    <col min="14850" max="14851" width="35.83203125" style="439" customWidth="1"/>
    <col min="14852" max="14853" width="18.1640625" style="439" customWidth="1"/>
    <col min="14854" max="14854" width="15" style="439" bestFit="1" customWidth="1"/>
    <col min="14855" max="14855" width="17.5" style="439" customWidth="1"/>
    <col min="14856" max="15097" width="9.33203125" style="439"/>
    <col min="15098" max="15098" width="14.33203125" style="439" customWidth="1"/>
    <col min="15099" max="15099" width="121" style="439" customWidth="1"/>
    <col min="15100" max="15100" width="37.6640625" style="439" customWidth="1"/>
    <col min="15101" max="15102" width="35.83203125" style="439" customWidth="1"/>
    <col min="15103" max="15103" width="14.33203125" style="439" customWidth="1"/>
    <col min="15104" max="15104" width="121" style="439" customWidth="1"/>
    <col min="15105" max="15105" width="37.1640625" style="439" customWidth="1"/>
    <col min="15106" max="15107" width="35.83203125" style="439" customWidth="1"/>
    <col min="15108" max="15109" width="18.1640625" style="439" customWidth="1"/>
    <col min="15110" max="15110" width="15" style="439" bestFit="1" customWidth="1"/>
    <col min="15111" max="15111" width="17.5" style="439" customWidth="1"/>
    <col min="15112" max="15353" width="9.33203125" style="439"/>
    <col min="15354" max="15354" width="14.33203125" style="439" customWidth="1"/>
    <col min="15355" max="15355" width="121" style="439" customWidth="1"/>
    <col min="15356" max="15356" width="37.6640625" style="439" customWidth="1"/>
    <col min="15357" max="15358" width="35.83203125" style="439" customWidth="1"/>
    <col min="15359" max="15359" width="14.33203125" style="439" customWidth="1"/>
    <col min="15360" max="15360" width="121" style="439" customWidth="1"/>
    <col min="15361" max="15361" width="37.1640625" style="439" customWidth="1"/>
    <col min="15362" max="15363" width="35.83203125" style="439" customWidth="1"/>
    <col min="15364" max="15365" width="18.1640625" style="439" customWidth="1"/>
    <col min="15366" max="15366" width="15" style="439" bestFit="1" customWidth="1"/>
    <col min="15367" max="15367" width="17.5" style="439" customWidth="1"/>
    <col min="15368" max="15609" width="9.33203125" style="439"/>
    <col min="15610" max="15610" width="14.33203125" style="439" customWidth="1"/>
    <col min="15611" max="15611" width="121" style="439" customWidth="1"/>
    <col min="15612" max="15612" width="37.6640625" style="439" customWidth="1"/>
    <col min="15613" max="15614" width="35.83203125" style="439" customWidth="1"/>
    <col min="15615" max="15615" width="14.33203125" style="439" customWidth="1"/>
    <col min="15616" max="15616" width="121" style="439" customWidth="1"/>
    <col min="15617" max="15617" width="37.1640625" style="439" customWidth="1"/>
    <col min="15618" max="15619" width="35.83203125" style="439" customWidth="1"/>
    <col min="15620" max="15621" width="18.1640625" style="439" customWidth="1"/>
    <col min="15622" max="15622" width="15" style="439" bestFit="1" customWidth="1"/>
    <col min="15623" max="15623" width="17.5" style="439" customWidth="1"/>
    <col min="15624" max="15865" width="9.33203125" style="439"/>
    <col min="15866" max="15866" width="14.33203125" style="439" customWidth="1"/>
    <col min="15867" max="15867" width="121" style="439" customWidth="1"/>
    <col min="15868" max="15868" width="37.6640625" style="439" customWidth="1"/>
    <col min="15869" max="15870" width="35.83203125" style="439" customWidth="1"/>
    <col min="15871" max="15871" width="14.33203125" style="439" customWidth="1"/>
    <col min="15872" max="15872" width="121" style="439" customWidth="1"/>
    <col min="15873" max="15873" width="37.1640625" style="439" customWidth="1"/>
    <col min="15874" max="15875" width="35.83203125" style="439" customWidth="1"/>
    <col min="15876" max="15877" width="18.1640625" style="439" customWidth="1"/>
    <col min="15878" max="15878" width="15" style="439" bestFit="1" customWidth="1"/>
    <col min="15879" max="15879" width="17.5" style="439" customWidth="1"/>
    <col min="15880" max="16121" width="9.33203125" style="439"/>
    <col min="16122" max="16122" width="14.33203125" style="439" customWidth="1"/>
    <col min="16123" max="16123" width="121" style="439" customWidth="1"/>
    <col min="16124" max="16124" width="37.6640625" style="439" customWidth="1"/>
    <col min="16125" max="16126" width="35.83203125" style="439" customWidth="1"/>
    <col min="16127" max="16127" width="14.33203125" style="439" customWidth="1"/>
    <col min="16128" max="16128" width="121" style="439" customWidth="1"/>
    <col min="16129" max="16129" width="37.1640625" style="439" customWidth="1"/>
    <col min="16130" max="16131" width="35.83203125" style="439" customWidth="1"/>
    <col min="16132" max="16133" width="18.1640625" style="439" customWidth="1"/>
    <col min="16134" max="16134" width="15" style="439" bestFit="1" customWidth="1"/>
    <col min="16135" max="16135" width="17.5" style="439" customWidth="1"/>
    <col min="16136" max="16384" width="9.33203125" style="439"/>
  </cols>
  <sheetData>
    <row r="1" spans="1:11" s="433" customFormat="1" ht="29.25" customHeight="1" x14ac:dyDescent="0.3">
      <c r="B1" s="1866" t="s">
        <v>593</v>
      </c>
      <c r="C1" s="1866"/>
      <c r="D1" s="1866"/>
      <c r="E1" s="1866"/>
      <c r="F1" s="434"/>
      <c r="G1" s="1866" t="s">
        <v>593</v>
      </c>
      <c r="H1" s="1866"/>
      <c r="I1" s="1866"/>
      <c r="J1" s="1866"/>
    </row>
    <row r="2" spans="1:11" s="433" customFormat="1" ht="36" customHeight="1" x14ac:dyDescent="0.3">
      <c r="B2" s="1866" t="s">
        <v>1113</v>
      </c>
      <c r="C2" s="1866"/>
      <c r="D2" s="1866"/>
      <c r="E2" s="1866"/>
      <c r="F2" s="434"/>
      <c r="G2" s="1866" t="s">
        <v>1114</v>
      </c>
      <c r="H2" s="1866"/>
      <c r="I2" s="1866"/>
      <c r="J2" s="1866"/>
    </row>
    <row r="3" spans="1:11" ht="19.5" thickBot="1" x14ac:dyDescent="0.35">
      <c r="A3" s="435"/>
      <c r="B3" s="436"/>
      <c r="C3" s="436"/>
      <c r="D3" s="436"/>
      <c r="E3" s="437"/>
      <c r="F3" s="437"/>
      <c r="G3" s="436"/>
      <c r="H3" s="436"/>
      <c r="I3" s="436"/>
      <c r="J3" s="438" t="s">
        <v>14</v>
      </c>
    </row>
    <row r="4" spans="1:11" s="445" customFormat="1" ht="33.75" customHeight="1" x14ac:dyDescent="0.3">
      <c r="A4" s="440"/>
      <c r="B4" s="441" t="s">
        <v>594</v>
      </c>
      <c r="C4" s="442" t="s">
        <v>595</v>
      </c>
      <c r="D4" s="443" t="s">
        <v>596</v>
      </c>
      <c r="E4" s="443" t="s">
        <v>597</v>
      </c>
      <c r="F4" s="442"/>
      <c r="G4" s="444" t="s">
        <v>598</v>
      </c>
      <c r="H4" s="442" t="s">
        <v>595</v>
      </c>
      <c r="I4" s="444" t="s">
        <v>596</v>
      </c>
      <c r="J4" s="442" t="s">
        <v>597</v>
      </c>
    </row>
    <row r="5" spans="1:11" s="445" customFormat="1" ht="25.5" customHeight="1" x14ac:dyDescent="0.3">
      <c r="A5" s="446"/>
      <c r="B5" s="447"/>
      <c r="C5" s="448" t="s">
        <v>599</v>
      </c>
      <c r="D5" s="449" t="s">
        <v>600</v>
      </c>
      <c r="E5" s="449" t="s">
        <v>601</v>
      </c>
      <c r="F5" s="448"/>
      <c r="G5" s="436"/>
      <c r="H5" s="448" t="s">
        <v>602</v>
      </c>
      <c r="I5" s="450" t="s">
        <v>603</v>
      </c>
      <c r="J5" s="448" t="s">
        <v>604</v>
      </c>
    </row>
    <row r="6" spans="1:11" s="445" customFormat="1" ht="48.75" customHeight="1" thickBot="1" x14ac:dyDescent="0.35">
      <c r="A6" s="451"/>
      <c r="B6" s="452"/>
      <c r="C6" s="453" t="s">
        <v>73</v>
      </c>
      <c r="D6" s="454"/>
      <c r="E6" s="455"/>
      <c r="F6" s="456"/>
      <c r="G6" s="457"/>
      <c r="H6" s="453" t="s">
        <v>73</v>
      </c>
      <c r="I6" s="458"/>
      <c r="J6" s="459"/>
      <c r="K6" s="460"/>
    </row>
    <row r="7" spans="1:11" ht="24" customHeight="1" x14ac:dyDescent="0.3">
      <c r="A7" s="461"/>
      <c r="B7" s="462" t="s">
        <v>605</v>
      </c>
      <c r="C7" s="463"/>
      <c r="D7" s="464"/>
      <c r="E7" s="443"/>
      <c r="F7" s="448"/>
      <c r="G7" s="462" t="s">
        <v>606</v>
      </c>
      <c r="H7" s="465"/>
      <c r="I7" s="466"/>
      <c r="J7" s="449"/>
      <c r="K7" s="467"/>
    </row>
    <row r="8" spans="1:11" ht="27" customHeight="1" x14ac:dyDescent="0.3">
      <c r="A8" s="468" t="s">
        <v>607</v>
      </c>
      <c r="B8" s="469" t="s">
        <v>608</v>
      </c>
      <c r="C8" s="470">
        <v>928913</v>
      </c>
      <c r="D8" s="470">
        <v>9226842</v>
      </c>
      <c r="E8" s="471">
        <f>SUM(C8:D8)</f>
        <v>10155755</v>
      </c>
      <c r="F8" s="472" t="s">
        <v>609</v>
      </c>
      <c r="G8" s="469" t="s">
        <v>610</v>
      </c>
      <c r="H8" s="473">
        <v>9628922</v>
      </c>
      <c r="I8" s="473">
        <f>358268+1</f>
        <v>358269</v>
      </c>
      <c r="J8" s="470">
        <f>SUM(H8:I8)</f>
        <v>9987191</v>
      </c>
      <c r="K8" s="474"/>
    </row>
    <row r="9" spans="1:11" ht="27" customHeight="1" x14ac:dyDescent="0.3">
      <c r="A9" s="468" t="s">
        <v>611</v>
      </c>
      <c r="B9" s="469" t="s">
        <v>76</v>
      </c>
      <c r="C9" s="470">
        <v>769</v>
      </c>
      <c r="D9" s="470">
        <v>13653009</v>
      </c>
      <c r="E9" s="471">
        <f>SUM(C9:D9)</f>
        <v>13653778</v>
      </c>
      <c r="F9" s="477" t="s">
        <v>612</v>
      </c>
      <c r="G9" s="478" t="s">
        <v>613</v>
      </c>
      <c r="H9" s="479">
        <v>1299412</v>
      </c>
      <c r="I9" s="480">
        <v>50686</v>
      </c>
      <c r="J9" s="470">
        <f>SUM(H9:I9)</f>
        <v>1350098</v>
      </c>
      <c r="K9" s="474"/>
    </row>
    <row r="10" spans="1:11" ht="27" customHeight="1" x14ac:dyDescent="0.3">
      <c r="A10" s="468" t="s">
        <v>614</v>
      </c>
      <c r="B10" s="469" t="s">
        <v>615</v>
      </c>
      <c r="C10" s="470">
        <v>1529040</v>
      </c>
      <c r="D10" s="470">
        <v>3053854</v>
      </c>
      <c r="E10" s="471">
        <f>SUM(C10:D10)</f>
        <v>4582894</v>
      </c>
      <c r="F10" s="477" t="s">
        <v>616</v>
      </c>
      <c r="G10" s="478" t="s">
        <v>617</v>
      </c>
      <c r="H10" s="479">
        <v>4349438</v>
      </c>
      <c r="I10" s="479">
        <v>5287163</v>
      </c>
      <c r="J10" s="470">
        <f>SUM(H10:I10)</f>
        <v>9636601</v>
      </c>
      <c r="K10" s="474"/>
    </row>
    <row r="11" spans="1:11" ht="27" customHeight="1" x14ac:dyDescent="0.3">
      <c r="A11" s="481" t="s">
        <v>618</v>
      </c>
      <c r="B11" s="478" t="s">
        <v>137</v>
      </c>
      <c r="C11" s="482">
        <v>21831</v>
      </c>
      <c r="D11" s="470">
        <v>65847</v>
      </c>
      <c r="E11" s="471">
        <f>SUM(C11:D11)</f>
        <v>87678</v>
      </c>
      <c r="F11" s="483" t="s">
        <v>619</v>
      </c>
      <c r="G11" s="484" t="s">
        <v>620</v>
      </c>
      <c r="H11" s="479">
        <v>0</v>
      </c>
      <c r="I11" s="479">
        <v>430536</v>
      </c>
      <c r="J11" s="470">
        <f>SUM(H11:I11)</f>
        <v>430536</v>
      </c>
      <c r="K11" s="474"/>
    </row>
    <row r="12" spans="1:11" ht="24" customHeight="1" thickBot="1" x14ac:dyDescent="0.4">
      <c r="A12" s="468"/>
      <c r="B12" s="469"/>
      <c r="C12" s="482"/>
      <c r="D12" s="482"/>
      <c r="E12" s="471"/>
      <c r="F12" s="477" t="s">
        <v>621</v>
      </c>
      <c r="G12" s="478" t="s">
        <v>622</v>
      </c>
      <c r="H12" s="470">
        <v>4437</v>
      </c>
      <c r="I12" s="470">
        <v>9463238</v>
      </c>
      <c r="J12" s="470">
        <f>SUM(H12:I12)</f>
        <v>9467675</v>
      </c>
      <c r="K12" s="485"/>
    </row>
    <row r="13" spans="1:11" ht="27" customHeight="1" thickBot="1" x14ac:dyDescent="0.4">
      <c r="A13" s="486"/>
      <c r="B13" s="487" t="s">
        <v>623</v>
      </c>
      <c r="C13" s="488">
        <f>SUM(C8:C12)</f>
        <v>2480553</v>
      </c>
      <c r="D13" s="488">
        <f>SUM(D8:D12)</f>
        <v>25999552</v>
      </c>
      <c r="E13" s="488">
        <f>SUM(C13:D13)</f>
        <v>28480105</v>
      </c>
      <c r="F13" s="489"/>
      <c r="G13" s="487" t="s">
        <v>624</v>
      </c>
      <c r="H13" s="490">
        <f>SUM(H8:H12)</f>
        <v>15282209</v>
      </c>
      <c r="I13" s="490">
        <f>SUM(I8:I12)</f>
        <v>15589892</v>
      </c>
      <c r="J13" s="490">
        <f>SUM(J8:J12)</f>
        <v>30872101</v>
      </c>
      <c r="K13" s="485" t="s">
        <v>625</v>
      </c>
    </row>
    <row r="14" spans="1:11" s="494" customFormat="1" ht="27" customHeight="1" x14ac:dyDescent="0.35">
      <c r="A14" s="468" t="s">
        <v>626</v>
      </c>
      <c r="B14" s="478" t="s">
        <v>143</v>
      </c>
      <c r="C14" s="482">
        <v>40076</v>
      </c>
      <c r="D14" s="470">
        <v>568871</v>
      </c>
      <c r="E14" s="471">
        <f>SUM(C14:D14)</f>
        <v>608947</v>
      </c>
      <c r="F14" s="491" t="s">
        <v>627</v>
      </c>
      <c r="G14" s="492" t="s">
        <v>162</v>
      </c>
      <c r="H14" s="493">
        <v>337478</v>
      </c>
      <c r="I14" s="493">
        <v>1537945</v>
      </c>
      <c r="J14" s="470">
        <f>SUM(H14:I14)</f>
        <v>1875423</v>
      </c>
      <c r="K14" s="485"/>
    </row>
    <row r="15" spans="1:11" ht="27" customHeight="1" x14ac:dyDescent="0.35">
      <c r="A15" s="468" t="s">
        <v>628</v>
      </c>
      <c r="B15" s="478" t="s">
        <v>148</v>
      </c>
      <c r="C15" s="470">
        <v>12115</v>
      </c>
      <c r="D15" s="470">
        <v>413931</v>
      </c>
      <c r="E15" s="471">
        <f>SUM(C15:D15)</f>
        <v>426046</v>
      </c>
      <c r="F15" s="495" t="s">
        <v>629</v>
      </c>
      <c r="G15" s="478" t="s">
        <v>630</v>
      </c>
      <c r="H15" s="479">
        <v>159410</v>
      </c>
      <c r="I15" s="480">
        <v>711297</v>
      </c>
      <c r="J15" s="470">
        <f>SUM(H15:I15)</f>
        <v>870707</v>
      </c>
      <c r="K15" s="485"/>
    </row>
    <row r="16" spans="1:11" ht="27" customHeight="1" thickBot="1" x14ac:dyDescent="0.4">
      <c r="A16" s="468" t="s">
        <v>631</v>
      </c>
      <c r="B16" s="478" t="s">
        <v>632</v>
      </c>
      <c r="C16" s="470"/>
      <c r="D16" s="470">
        <v>25109</v>
      </c>
      <c r="E16" s="471">
        <f>SUM(C16:D16)</f>
        <v>25109</v>
      </c>
      <c r="F16" s="483" t="s">
        <v>633</v>
      </c>
      <c r="G16" s="496" t="s">
        <v>634</v>
      </c>
      <c r="H16" s="473"/>
      <c r="I16" s="1231">
        <v>152229</v>
      </c>
      <c r="J16" s="470">
        <f>SUM(H16:I16)</f>
        <v>152229</v>
      </c>
      <c r="K16" s="485"/>
    </row>
    <row r="17" spans="1:12" ht="27" customHeight="1" thickBot="1" x14ac:dyDescent="0.4">
      <c r="A17" s="497"/>
      <c r="B17" s="487" t="s">
        <v>635</v>
      </c>
      <c r="C17" s="488">
        <f>SUM(C14:C16)</f>
        <v>52191</v>
      </c>
      <c r="D17" s="488">
        <f>SUM(D14:D16)</f>
        <v>1007911</v>
      </c>
      <c r="E17" s="488">
        <f>SUM(E14:E16)</f>
        <v>1060102</v>
      </c>
      <c r="F17" s="489"/>
      <c r="G17" s="498" t="s">
        <v>636</v>
      </c>
      <c r="H17" s="490">
        <f>SUM(H14:H16)</f>
        <v>496888</v>
      </c>
      <c r="I17" s="490">
        <f>SUM(I14:I16)</f>
        <v>2401471</v>
      </c>
      <c r="J17" s="490">
        <f>SUM(J14:J16)</f>
        <v>2898359</v>
      </c>
      <c r="K17" s="485" t="s">
        <v>625</v>
      </c>
    </row>
    <row r="18" spans="1:12" ht="27" customHeight="1" thickBot="1" x14ac:dyDescent="0.35">
      <c r="A18" s="497"/>
      <c r="B18" s="498" t="s">
        <v>637</v>
      </c>
      <c r="C18" s="488">
        <f>+C13+C17</f>
        <v>2532744</v>
      </c>
      <c r="D18" s="488">
        <f>D13+D17</f>
        <v>27007463</v>
      </c>
      <c r="E18" s="488">
        <f>SUM(E13+E17)</f>
        <v>29540207</v>
      </c>
      <c r="F18" s="489"/>
      <c r="G18" s="487" t="s">
        <v>638</v>
      </c>
      <c r="H18" s="490">
        <f>SUM(H17,H13)</f>
        <v>15779097</v>
      </c>
      <c r="I18" s="490">
        <f>SUM(I17,I13)</f>
        <v>17991363</v>
      </c>
      <c r="J18" s="490">
        <f>SUM(J17,J13)</f>
        <v>33770460</v>
      </c>
      <c r="K18" s="474"/>
      <c r="L18" s="475"/>
    </row>
    <row r="19" spans="1:12" ht="27" customHeight="1" thickBot="1" x14ac:dyDescent="0.35">
      <c r="A19" s="499" t="s">
        <v>639</v>
      </c>
      <c r="B19" s="500" t="s">
        <v>640</v>
      </c>
      <c r="C19" s="473">
        <v>497891</v>
      </c>
      <c r="D19" s="501">
        <v>9831674</v>
      </c>
      <c r="E19" s="471">
        <f>SUM(C19:D19)</f>
        <v>10329565</v>
      </c>
      <c r="F19" s="502" t="s">
        <v>641</v>
      </c>
      <c r="G19" s="503" t="s">
        <v>642</v>
      </c>
      <c r="H19" s="479"/>
      <c r="I19" s="479">
        <v>2882934</v>
      </c>
      <c r="J19" s="470">
        <f>SUM(H19:I19)</f>
        <v>2882934</v>
      </c>
      <c r="K19" s="474"/>
      <c r="L19" s="475"/>
    </row>
    <row r="20" spans="1:12" ht="36.75" customHeight="1" thickBot="1" x14ac:dyDescent="0.35">
      <c r="A20" s="504"/>
      <c r="B20" s="487" t="s">
        <v>643</v>
      </c>
      <c r="C20" s="488">
        <f>SUM(C18:C19)</f>
        <v>3030635</v>
      </c>
      <c r="D20" s="488">
        <f>SUM(D18:D19)</f>
        <v>36839137</v>
      </c>
      <c r="E20" s="488">
        <f>SUM(C20:D20)</f>
        <v>39869772</v>
      </c>
      <c r="F20" s="489"/>
      <c r="G20" s="487" t="s">
        <v>644</v>
      </c>
      <c r="H20" s="488">
        <f>SUM(H18:H19)</f>
        <v>15779097</v>
      </c>
      <c r="I20" s="488">
        <f>SUM(I18:I19)</f>
        <v>20874297</v>
      </c>
      <c r="J20" s="488">
        <f>SUM(J18:J19)</f>
        <v>36653394</v>
      </c>
      <c r="K20" s="475"/>
      <c r="L20" s="475"/>
    </row>
    <row r="21" spans="1:12" s="475" customFormat="1" ht="24" customHeight="1" x14ac:dyDescent="0.35">
      <c r="B21" s="505"/>
      <c r="E21" s="506"/>
      <c r="F21" s="507"/>
      <c r="H21" s="508"/>
      <c r="I21" s="509"/>
      <c r="J21" s="510"/>
      <c r="K21" s="511"/>
    </row>
    <row r="22" spans="1:12" ht="58.5" customHeight="1" x14ac:dyDescent="0.25">
      <c r="A22" s="475"/>
      <c r="B22" s="512"/>
      <c r="C22" s="475"/>
      <c r="D22" s="475"/>
      <c r="E22" s="513"/>
      <c r="F22" s="507"/>
      <c r="G22" s="1867" t="s">
        <v>645</v>
      </c>
      <c r="H22" s="1868"/>
      <c r="I22" s="1868"/>
      <c r="J22" s="1868"/>
      <c r="K22" s="511"/>
      <c r="L22" s="475"/>
    </row>
    <row r="23" spans="1:12" ht="24" customHeight="1" x14ac:dyDescent="0.35">
      <c r="A23" s="475"/>
      <c r="B23" s="514"/>
      <c r="C23" s="515"/>
      <c r="E23" s="507"/>
      <c r="F23" s="507"/>
      <c r="H23" s="475"/>
      <c r="J23" s="507"/>
      <c r="K23" s="511"/>
      <c r="L23" s="475"/>
    </row>
    <row r="24" spans="1:12" ht="24" customHeight="1" x14ac:dyDescent="0.35">
      <c r="A24" s="475"/>
      <c r="B24" s="514"/>
      <c r="C24" s="515"/>
      <c r="D24" s="516"/>
      <c r="E24" s="507"/>
      <c r="F24" s="507"/>
      <c r="H24" s="475"/>
      <c r="J24" s="507"/>
      <c r="K24" s="511"/>
      <c r="L24" s="475"/>
    </row>
    <row r="25" spans="1:12" ht="33" x14ac:dyDescent="0.45">
      <c r="A25" s="475"/>
      <c r="B25" s="517"/>
      <c r="C25" s="1130"/>
      <c r="D25" s="475"/>
      <c r="E25" s="507"/>
      <c r="F25" s="507"/>
      <c r="H25" s="475"/>
      <c r="I25" s="475"/>
      <c r="J25" s="506"/>
      <c r="K25" s="511"/>
      <c r="L25" s="475"/>
    </row>
    <row r="26" spans="1:12" ht="24" customHeight="1" x14ac:dyDescent="0.25">
      <c r="A26" s="475"/>
      <c r="B26" s="518"/>
      <c r="C26" s="475"/>
      <c r="E26" s="507"/>
      <c r="F26" s="507"/>
      <c r="G26" s="512"/>
      <c r="H26" s="507"/>
      <c r="I26" s="507"/>
      <c r="J26" s="506"/>
      <c r="K26" s="511"/>
    </row>
    <row r="27" spans="1:12" ht="24" customHeight="1" x14ac:dyDescent="0.25">
      <c r="A27" s="475"/>
      <c r="C27" s="475"/>
      <c r="E27" s="507"/>
      <c r="F27" s="507"/>
      <c r="H27" s="476"/>
      <c r="I27" s="476"/>
      <c r="J27" s="476"/>
      <c r="K27" s="511"/>
    </row>
    <row r="28" spans="1:12" ht="24" customHeight="1" x14ac:dyDescent="0.25">
      <c r="A28" s="475"/>
      <c r="B28" s="512"/>
      <c r="C28" s="475"/>
      <c r="D28" s="475"/>
      <c r="E28" s="513"/>
      <c r="F28" s="507"/>
      <c r="G28" s="519"/>
      <c r="J28" s="513"/>
      <c r="K28" s="511"/>
    </row>
    <row r="29" spans="1:12" ht="24" customHeight="1" x14ac:dyDescent="0.25">
      <c r="A29" s="475"/>
      <c r="B29" s="514"/>
      <c r="C29" s="475"/>
      <c r="D29" s="475"/>
      <c r="E29" s="507"/>
      <c r="F29" s="507"/>
      <c r="H29" s="475"/>
      <c r="I29" s="475"/>
      <c r="J29" s="507"/>
      <c r="K29" s="511"/>
    </row>
    <row r="30" spans="1:12" ht="24" customHeight="1" x14ac:dyDescent="0.25">
      <c r="A30" s="475"/>
      <c r="B30" s="514"/>
      <c r="C30" s="475"/>
      <c r="D30" s="475"/>
      <c r="E30" s="507"/>
      <c r="F30" s="507"/>
      <c r="I30" s="475"/>
      <c r="J30" s="507"/>
      <c r="K30" s="511"/>
    </row>
    <row r="31" spans="1:12" ht="24" customHeight="1" x14ac:dyDescent="0.25">
      <c r="A31" s="475"/>
      <c r="B31" s="517"/>
      <c r="C31" s="475"/>
      <c r="E31" s="507"/>
      <c r="F31" s="507"/>
      <c r="I31" s="475"/>
      <c r="J31" s="507"/>
      <c r="K31" s="511"/>
    </row>
    <row r="32" spans="1:12" ht="24" customHeight="1" x14ac:dyDescent="0.25">
      <c r="A32" s="475"/>
      <c r="B32" s="518"/>
      <c r="C32" s="475"/>
      <c r="E32" s="507"/>
      <c r="F32" s="507"/>
      <c r="I32" s="475"/>
      <c r="J32" s="507"/>
      <c r="K32" s="511"/>
    </row>
    <row r="33" spans="1:11" ht="24" customHeight="1" x14ac:dyDescent="0.25">
      <c r="A33" s="475"/>
      <c r="B33" s="518"/>
      <c r="C33" s="475"/>
      <c r="E33" s="507"/>
      <c r="F33" s="507"/>
      <c r="I33" s="475"/>
      <c r="J33" s="507"/>
      <c r="K33" s="511"/>
    </row>
    <row r="34" spans="1:11" ht="24" customHeight="1" x14ac:dyDescent="0.25">
      <c r="A34" s="475"/>
      <c r="C34" s="475"/>
      <c r="D34" s="475"/>
      <c r="E34" s="507"/>
      <c r="F34" s="507"/>
      <c r="I34" s="475"/>
      <c r="J34" s="507"/>
      <c r="K34" s="511"/>
    </row>
    <row r="35" spans="1:11" ht="24" customHeight="1" x14ac:dyDescent="0.25">
      <c r="A35" s="475"/>
      <c r="C35" s="475"/>
      <c r="E35" s="507"/>
      <c r="F35" s="507"/>
      <c r="H35" s="475"/>
      <c r="I35" s="475"/>
      <c r="K35" s="511"/>
    </row>
    <row r="36" spans="1:11" ht="24" customHeight="1" x14ac:dyDescent="0.25">
      <c r="A36" s="475"/>
      <c r="C36" s="475"/>
      <c r="E36" s="507"/>
      <c r="F36" s="507"/>
      <c r="H36" s="475"/>
      <c r="I36" s="475"/>
      <c r="K36" s="511"/>
    </row>
    <row r="37" spans="1:11" ht="24" customHeight="1" x14ac:dyDescent="0.25">
      <c r="A37" s="475"/>
      <c r="C37" s="475"/>
      <c r="E37" s="507"/>
      <c r="F37" s="507"/>
      <c r="H37" s="475"/>
      <c r="I37" s="475"/>
      <c r="K37" s="511"/>
    </row>
    <row r="38" spans="1:11" ht="24" customHeight="1" x14ac:dyDescent="0.25">
      <c r="A38" s="475"/>
      <c r="C38" s="475"/>
      <c r="E38" s="507"/>
      <c r="F38" s="507"/>
      <c r="H38" s="475"/>
      <c r="I38" s="475"/>
      <c r="K38" s="511"/>
    </row>
    <row r="39" spans="1:11" ht="24" customHeight="1" x14ac:dyDescent="0.25">
      <c r="A39" s="475"/>
      <c r="B39" s="517"/>
      <c r="C39" s="475"/>
      <c r="E39" s="475"/>
      <c r="F39" s="507"/>
      <c r="G39" s="512"/>
      <c r="H39" s="475"/>
      <c r="K39" s="475"/>
    </row>
    <row r="40" spans="1:11" ht="24" customHeight="1" x14ac:dyDescent="0.25">
      <c r="C40" s="475"/>
      <c r="F40" s="507"/>
      <c r="J40" s="507"/>
      <c r="K40" s="475"/>
    </row>
    <row r="41" spans="1:11" ht="24" customHeight="1" x14ac:dyDescent="0.25">
      <c r="C41" s="475"/>
      <c r="E41" s="439"/>
      <c r="F41" s="507"/>
      <c r="J41" s="475"/>
    </row>
    <row r="42" spans="1:11" ht="24" customHeight="1" x14ac:dyDescent="0.25">
      <c r="C42" s="475"/>
      <c r="E42" s="475"/>
      <c r="J42" s="439"/>
    </row>
    <row r="43" spans="1:11" ht="24" customHeight="1" x14ac:dyDescent="0.25">
      <c r="E43" s="439"/>
      <c r="F43" s="507"/>
      <c r="J43" s="439"/>
    </row>
    <row r="44" spans="1:11" ht="24" customHeight="1" x14ac:dyDescent="0.25">
      <c r="E44" s="507"/>
      <c r="F44" s="507"/>
      <c r="J44" s="507"/>
    </row>
    <row r="45" spans="1:11" ht="24" customHeight="1" x14ac:dyDescent="0.25"/>
    <row r="46" spans="1:11" ht="24" customHeight="1" x14ac:dyDescent="0.25"/>
    <row r="47" spans="1:11" ht="24" customHeight="1" x14ac:dyDescent="0.25"/>
    <row r="48" spans="1:11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&amp;R&amp;"-,Félkövér"&amp;14  1. melléklet  a .../2025. (........) önkormányzati rendelethez </oddHeader>
  </headerFooter>
  <colBreaks count="1" manualBreakCount="1">
    <brk id="5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1"/>
  <dimension ref="A1:H48"/>
  <sheetViews>
    <sheetView zoomScaleNormal="100" zoomScaleSheetLayoutView="100" workbookViewId="0">
      <selection activeCell="I30" sqref="I30"/>
    </sheetView>
  </sheetViews>
  <sheetFormatPr defaultColWidth="9.33203125" defaultRowHeight="15" customHeight="1" x14ac:dyDescent="0.2"/>
  <cols>
    <col min="1" max="1" width="110.1640625" style="3" customWidth="1"/>
    <col min="2" max="2" width="21.5" style="3" customWidth="1"/>
    <col min="3" max="3" width="22" style="3" customWidth="1"/>
    <col min="4" max="4" width="21.1640625" style="3" customWidth="1"/>
    <col min="5" max="5" width="21.5" style="3" customWidth="1"/>
    <col min="6" max="6" width="27.6640625" style="3" customWidth="1"/>
    <col min="7" max="7" width="22.1640625" style="3" customWidth="1"/>
    <col min="8" max="8" width="9.33203125" style="52"/>
    <col min="9" max="16384" width="9.33203125" style="3"/>
  </cols>
  <sheetData>
    <row r="1" spans="1:6" ht="15" customHeight="1" x14ac:dyDescent="0.25">
      <c r="A1" s="1966"/>
      <c r="B1" s="1966"/>
      <c r="C1" s="83"/>
      <c r="D1" s="76"/>
      <c r="E1" s="76"/>
    </row>
    <row r="2" spans="1:6" ht="27" customHeight="1" x14ac:dyDescent="0.3">
      <c r="A2" s="1967" t="s">
        <v>19</v>
      </c>
      <c r="B2" s="1967"/>
      <c r="C2" s="1967"/>
      <c r="D2" s="1967"/>
      <c r="E2" s="1967"/>
    </row>
    <row r="3" spans="1:6" ht="18" customHeight="1" x14ac:dyDescent="0.25">
      <c r="A3" s="83"/>
      <c r="B3" s="83"/>
      <c r="C3" s="83"/>
      <c r="D3" s="85"/>
      <c r="E3" s="85"/>
      <c r="F3" s="12"/>
    </row>
    <row r="4" spans="1:6" ht="27" customHeight="1" thickBot="1" x14ac:dyDescent="0.3">
      <c r="A4" s="1435" t="s">
        <v>127</v>
      </c>
      <c r="B4" s="86"/>
      <c r="C4" s="86"/>
      <c r="D4" s="86"/>
      <c r="E4" s="78" t="s">
        <v>14</v>
      </c>
      <c r="F4" s="49"/>
    </row>
    <row r="5" spans="1:6" ht="27" customHeight="1" x14ac:dyDescent="0.3">
      <c r="A5" s="1477" t="s">
        <v>28</v>
      </c>
      <c r="B5" s="1962" t="s">
        <v>496</v>
      </c>
      <c r="C5" s="1962"/>
      <c r="D5" s="113" t="s">
        <v>272</v>
      </c>
      <c r="E5" s="197" t="s">
        <v>83</v>
      </c>
      <c r="F5" s="56"/>
    </row>
    <row r="6" spans="1:6" ht="28.5" customHeight="1" thickBot="1" x14ac:dyDescent="0.35">
      <c r="A6" s="1471"/>
      <c r="B6" s="198" t="s">
        <v>169</v>
      </c>
      <c r="C6" s="198" t="s">
        <v>81</v>
      </c>
      <c r="D6" s="199" t="s">
        <v>82</v>
      </c>
      <c r="E6" s="200" t="s">
        <v>84</v>
      </c>
      <c r="F6" s="56"/>
    </row>
    <row r="7" spans="1:6" ht="24.75" customHeight="1" thickBot="1" x14ac:dyDescent="0.35">
      <c r="A7" s="1236" t="s">
        <v>548</v>
      </c>
      <c r="B7" s="1240">
        <v>1557335</v>
      </c>
      <c r="C7" s="1240">
        <v>1843790</v>
      </c>
      <c r="D7" s="1241">
        <v>1807414</v>
      </c>
      <c r="E7" s="1242">
        <f>+D7/C7*100</f>
        <v>98.027107208521585</v>
      </c>
      <c r="F7" s="431"/>
    </row>
    <row r="8" spans="1:6" ht="24.75" customHeight="1" x14ac:dyDescent="0.3">
      <c r="A8" s="1334" t="s">
        <v>125</v>
      </c>
      <c r="B8" s="222"/>
      <c r="C8" s="223"/>
      <c r="D8" s="222"/>
      <c r="E8" s="224"/>
      <c r="F8" s="430"/>
    </row>
    <row r="9" spans="1:6" ht="24.75" customHeight="1" x14ac:dyDescent="0.3">
      <c r="A9" s="1449" t="s">
        <v>356</v>
      </c>
      <c r="B9" s="123">
        <v>2000</v>
      </c>
      <c r="C9" s="123">
        <v>2000</v>
      </c>
      <c r="D9" s="123">
        <v>475</v>
      </c>
      <c r="E9" s="124">
        <f t="shared" ref="E9:E36" si="0">+D9/C9*100</f>
        <v>23.75</v>
      </c>
      <c r="F9" s="430"/>
    </row>
    <row r="10" spans="1:6" ht="24.75" customHeight="1" x14ac:dyDescent="0.3">
      <c r="A10" s="1472" t="s">
        <v>468</v>
      </c>
      <c r="B10" s="1243">
        <v>181272</v>
      </c>
      <c r="C10" s="1243">
        <v>181272</v>
      </c>
      <c r="D10" s="1244">
        <v>181272</v>
      </c>
      <c r="E10" s="1245">
        <f t="shared" si="0"/>
        <v>100</v>
      </c>
      <c r="F10" s="430"/>
    </row>
    <row r="11" spans="1:6" ht="24.75" customHeight="1" x14ac:dyDescent="0.3">
      <c r="A11" s="320" t="s">
        <v>135</v>
      </c>
      <c r="B11" s="109">
        <v>2055</v>
      </c>
      <c r="C11" s="109">
        <v>2154</v>
      </c>
      <c r="D11" s="109">
        <v>1955</v>
      </c>
      <c r="E11" s="124">
        <f t="shared" si="0"/>
        <v>90.761374187558033</v>
      </c>
      <c r="F11" s="430"/>
    </row>
    <row r="12" spans="1:6" ht="24.75" customHeight="1" x14ac:dyDescent="0.3">
      <c r="A12" s="1472" t="s">
        <v>64</v>
      </c>
      <c r="B12" s="1246">
        <v>489000</v>
      </c>
      <c r="C12" s="1246">
        <v>458793</v>
      </c>
      <c r="D12" s="1247">
        <v>427739</v>
      </c>
      <c r="E12" s="1245">
        <f t="shared" si="0"/>
        <v>93.231370138602813</v>
      </c>
      <c r="F12" s="430"/>
    </row>
    <row r="13" spans="1:6" ht="25.5" customHeight="1" x14ac:dyDescent="0.3">
      <c r="A13" s="1473" t="s">
        <v>469</v>
      </c>
      <c r="B13" s="1235"/>
      <c r="C13" s="1235">
        <v>15000</v>
      </c>
      <c r="D13" s="206">
        <v>15000</v>
      </c>
      <c r="E13" s="335">
        <f t="shared" si="0"/>
        <v>100</v>
      </c>
      <c r="F13" s="430"/>
    </row>
    <row r="14" spans="1:6" ht="24.75" customHeight="1" x14ac:dyDescent="0.3">
      <c r="A14" s="320" t="s">
        <v>58</v>
      </c>
      <c r="B14" s="109">
        <v>2500</v>
      </c>
      <c r="C14" s="109">
        <v>2500</v>
      </c>
      <c r="D14" s="109">
        <v>8</v>
      </c>
      <c r="E14" s="225">
        <f t="shared" si="0"/>
        <v>0.32</v>
      </c>
      <c r="F14" s="58"/>
    </row>
    <row r="15" spans="1:6" ht="24.75" customHeight="1" x14ac:dyDescent="0.3">
      <c r="A15" s="320" t="s">
        <v>126</v>
      </c>
      <c r="B15" s="109">
        <v>2000</v>
      </c>
      <c r="C15" s="109">
        <v>0</v>
      </c>
      <c r="D15" s="109">
        <v>0</v>
      </c>
      <c r="E15" s="225"/>
      <c r="F15" s="58"/>
    </row>
    <row r="16" spans="1:6" ht="24.75" customHeight="1" x14ac:dyDescent="0.3">
      <c r="A16" s="321" t="s">
        <v>42</v>
      </c>
      <c r="B16" s="109">
        <v>11000</v>
      </c>
      <c r="C16" s="109">
        <v>11000</v>
      </c>
      <c r="D16" s="109">
        <v>11000</v>
      </c>
      <c r="E16" s="225">
        <f t="shared" si="0"/>
        <v>100</v>
      </c>
      <c r="F16" s="58"/>
    </row>
    <row r="17" spans="1:6" ht="23.25" customHeight="1" x14ac:dyDescent="0.3">
      <c r="A17" s="1474" t="s">
        <v>311</v>
      </c>
      <c r="B17" s="109">
        <v>10000</v>
      </c>
      <c r="C17" s="109">
        <v>10000</v>
      </c>
      <c r="D17" s="109">
        <v>10000</v>
      </c>
      <c r="E17" s="225">
        <f t="shared" si="0"/>
        <v>100</v>
      </c>
      <c r="F17" s="58"/>
    </row>
    <row r="18" spans="1:6" ht="38.25" customHeight="1" x14ac:dyDescent="0.3">
      <c r="A18" s="1474" t="s">
        <v>312</v>
      </c>
      <c r="B18" s="109">
        <v>3300</v>
      </c>
      <c r="C18" s="109">
        <v>3325</v>
      </c>
      <c r="D18" s="109">
        <v>2200</v>
      </c>
      <c r="E18" s="225">
        <f t="shared" si="0"/>
        <v>66.165413533834581</v>
      </c>
      <c r="F18" s="58"/>
    </row>
    <row r="19" spans="1:6" ht="24.75" customHeight="1" x14ac:dyDescent="0.3">
      <c r="A19" s="345" t="s">
        <v>5</v>
      </c>
      <c r="B19" s="226">
        <v>80000</v>
      </c>
      <c r="C19" s="226">
        <v>80007</v>
      </c>
      <c r="D19" s="226">
        <v>50379</v>
      </c>
      <c r="E19" s="225">
        <f t="shared" si="0"/>
        <v>62.968240278975586</v>
      </c>
      <c r="F19" s="58"/>
    </row>
    <row r="20" spans="1:6" ht="24.75" customHeight="1" x14ac:dyDescent="0.3">
      <c r="A20" s="345" t="s">
        <v>315</v>
      </c>
      <c r="B20" s="226">
        <v>3000</v>
      </c>
      <c r="C20" s="226">
        <v>39069</v>
      </c>
      <c r="D20" s="226">
        <v>39020</v>
      </c>
      <c r="E20" s="225">
        <f t="shared" si="0"/>
        <v>99.874580869743284</v>
      </c>
      <c r="F20" s="58"/>
    </row>
    <row r="21" spans="1:6" ht="24.75" customHeight="1" x14ac:dyDescent="0.3">
      <c r="A21" s="345" t="s">
        <v>316</v>
      </c>
      <c r="B21" s="226"/>
      <c r="C21" s="226">
        <v>50</v>
      </c>
      <c r="D21" s="226">
        <v>50</v>
      </c>
      <c r="E21" s="225">
        <f t="shared" si="0"/>
        <v>100</v>
      </c>
      <c r="F21" s="58"/>
    </row>
    <row r="22" spans="1:6" ht="24.75" customHeight="1" x14ac:dyDescent="0.3">
      <c r="A22" s="345" t="s">
        <v>134</v>
      </c>
      <c r="B22" s="226">
        <v>660</v>
      </c>
      <c r="C22" s="226">
        <v>660</v>
      </c>
      <c r="D22" s="226">
        <v>0</v>
      </c>
      <c r="E22" s="225">
        <f t="shared" si="0"/>
        <v>0</v>
      </c>
      <c r="F22" s="58"/>
    </row>
    <row r="23" spans="1:6" ht="24.75" customHeight="1" x14ac:dyDescent="0.3">
      <c r="A23" s="1472" t="s">
        <v>213</v>
      </c>
      <c r="B23" s="1246">
        <v>5000</v>
      </c>
      <c r="C23" s="1246">
        <v>0</v>
      </c>
      <c r="D23" s="1247">
        <v>0</v>
      </c>
      <c r="E23" s="1248"/>
      <c r="F23" s="430"/>
    </row>
    <row r="24" spans="1:6" ht="57.75" customHeight="1" x14ac:dyDescent="0.3">
      <c r="A24" s="321" t="s">
        <v>313</v>
      </c>
      <c r="B24" s="109">
        <v>10000</v>
      </c>
      <c r="C24" s="109">
        <v>10000</v>
      </c>
      <c r="D24" s="109">
        <v>10000</v>
      </c>
      <c r="E24" s="225">
        <f t="shared" si="0"/>
        <v>100</v>
      </c>
      <c r="F24" s="58"/>
    </row>
    <row r="25" spans="1:6" ht="57.75" customHeight="1" x14ac:dyDescent="0.3">
      <c r="A25" s="1475" t="s">
        <v>397</v>
      </c>
      <c r="B25" s="109"/>
      <c r="C25" s="109">
        <v>12790</v>
      </c>
      <c r="D25" s="109">
        <v>12790</v>
      </c>
      <c r="E25" s="225">
        <f t="shared" si="0"/>
        <v>100</v>
      </c>
      <c r="F25" s="58"/>
    </row>
    <row r="26" spans="1:6" ht="18.75" customHeight="1" x14ac:dyDescent="0.3">
      <c r="A26" s="321" t="s">
        <v>243</v>
      </c>
      <c r="B26" s="109">
        <v>8263</v>
      </c>
      <c r="C26" s="109">
        <v>10809</v>
      </c>
      <c r="D26" s="133">
        <v>9860</v>
      </c>
      <c r="E26" s="328">
        <f t="shared" si="0"/>
        <v>91.220279396798958</v>
      </c>
      <c r="F26" s="58"/>
    </row>
    <row r="27" spans="1:6" ht="24" customHeight="1" x14ac:dyDescent="0.3">
      <c r="A27" s="321" t="s">
        <v>261</v>
      </c>
      <c r="B27" s="109">
        <v>3000</v>
      </c>
      <c r="C27" s="109">
        <v>3000</v>
      </c>
      <c r="D27" s="109">
        <v>3000</v>
      </c>
      <c r="E27" s="225">
        <f t="shared" si="0"/>
        <v>100</v>
      </c>
      <c r="F27" s="58"/>
    </row>
    <row r="28" spans="1:6" ht="24" customHeight="1" x14ac:dyDescent="0.3">
      <c r="A28" s="321" t="s">
        <v>430</v>
      </c>
      <c r="B28" s="109"/>
      <c r="C28" s="109">
        <v>200</v>
      </c>
      <c r="D28" s="109">
        <v>200</v>
      </c>
      <c r="E28" s="225">
        <f t="shared" si="0"/>
        <v>100</v>
      </c>
      <c r="F28" s="58"/>
    </row>
    <row r="29" spans="1:6" ht="42" customHeight="1" x14ac:dyDescent="0.3">
      <c r="A29" s="321" t="s">
        <v>361</v>
      </c>
      <c r="B29" s="109"/>
      <c r="C29" s="109">
        <v>1400</v>
      </c>
      <c r="D29" s="109">
        <v>1100</v>
      </c>
      <c r="E29" s="225">
        <f t="shared" si="0"/>
        <v>78.571428571428569</v>
      </c>
      <c r="F29" s="58"/>
    </row>
    <row r="30" spans="1:6" ht="39.75" customHeight="1" x14ac:dyDescent="0.3">
      <c r="A30" s="321" t="s">
        <v>470</v>
      </c>
      <c r="B30" s="109"/>
      <c r="C30" s="109">
        <v>548</v>
      </c>
      <c r="D30" s="109">
        <v>548</v>
      </c>
      <c r="E30" s="225">
        <f t="shared" si="0"/>
        <v>100</v>
      </c>
      <c r="F30" s="58"/>
    </row>
    <row r="31" spans="1:6" ht="44.25" customHeight="1" x14ac:dyDescent="0.3">
      <c r="A31" s="321" t="s">
        <v>585</v>
      </c>
      <c r="B31" s="109"/>
      <c r="C31" s="109">
        <v>2000</v>
      </c>
      <c r="D31" s="109">
        <v>2000</v>
      </c>
      <c r="E31" s="117">
        <f t="shared" si="0"/>
        <v>100</v>
      </c>
      <c r="F31" s="58"/>
    </row>
    <row r="32" spans="1:6" ht="24" customHeight="1" x14ac:dyDescent="0.3">
      <c r="A32" s="321" t="s">
        <v>506</v>
      </c>
      <c r="B32" s="109">
        <v>10000</v>
      </c>
      <c r="C32" s="109">
        <v>10000</v>
      </c>
      <c r="D32" s="109">
        <v>0</v>
      </c>
      <c r="E32" s="117">
        <f t="shared" si="0"/>
        <v>0</v>
      </c>
      <c r="F32" s="58"/>
    </row>
    <row r="33" spans="1:8" ht="23.25" customHeight="1" x14ac:dyDescent="0.3">
      <c r="A33" s="321" t="s">
        <v>559</v>
      </c>
      <c r="B33" s="109"/>
      <c r="C33" s="109">
        <v>400</v>
      </c>
      <c r="D33" s="109">
        <v>400</v>
      </c>
      <c r="E33" s="117">
        <f t="shared" si="0"/>
        <v>100</v>
      </c>
      <c r="F33" s="58"/>
    </row>
    <row r="34" spans="1:8" ht="20.25" customHeight="1" thickBot="1" x14ac:dyDescent="0.35">
      <c r="A34" s="1476" t="s">
        <v>471</v>
      </c>
      <c r="B34" s="107"/>
      <c r="C34" s="107">
        <v>600</v>
      </c>
      <c r="D34" s="107">
        <v>600</v>
      </c>
      <c r="E34" s="335">
        <f t="shared" si="0"/>
        <v>100</v>
      </c>
      <c r="F34" s="58"/>
    </row>
    <row r="35" spans="1:8" ht="29.25" customHeight="1" thickBot="1" x14ac:dyDescent="0.35">
      <c r="A35" s="1399" t="s">
        <v>130</v>
      </c>
      <c r="B35" s="120">
        <f>SUM(B9:B34)</f>
        <v>823050</v>
      </c>
      <c r="C35" s="120">
        <f>SUM(C9:C34)</f>
        <v>857577</v>
      </c>
      <c r="D35" s="120">
        <f>SUM(D9:D34)</f>
        <v>779596</v>
      </c>
      <c r="E35" s="215">
        <f>+D35/C35*100</f>
        <v>90.906822361140755</v>
      </c>
      <c r="F35" s="57"/>
    </row>
    <row r="36" spans="1:8" s="2" customFormat="1" ht="27" customHeight="1" thickBot="1" x14ac:dyDescent="0.35">
      <c r="A36" s="1390" t="s">
        <v>283</v>
      </c>
      <c r="B36" s="120">
        <f>+B7+B35</f>
        <v>2380385</v>
      </c>
      <c r="C36" s="120">
        <f>+C7+C35</f>
        <v>2701367</v>
      </c>
      <c r="D36" s="120">
        <f>+D7+D35</f>
        <v>2587010</v>
      </c>
      <c r="E36" s="215">
        <f t="shared" si="0"/>
        <v>95.766698860243721</v>
      </c>
      <c r="F36" s="57"/>
      <c r="G36" s="3"/>
      <c r="H36" s="52"/>
    </row>
    <row r="37" spans="1:8" ht="27" customHeight="1" x14ac:dyDescent="0.25">
      <c r="A37" s="341"/>
      <c r="B37" s="76"/>
      <c r="C37" s="76"/>
      <c r="D37" s="76"/>
      <c r="E37" s="76"/>
      <c r="F37" s="58"/>
    </row>
    <row r="38" spans="1:8" ht="27" customHeight="1" thickBot="1" x14ac:dyDescent="0.3">
      <c r="A38" s="1435" t="s">
        <v>15</v>
      </c>
      <c r="B38" s="76"/>
      <c r="C38" s="76"/>
      <c r="D38" s="76"/>
      <c r="E38" s="76"/>
      <c r="F38" s="49"/>
    </row>
    <row r="39" spans="1:8" ht="27" customHeight="1" x14ac:dyDescent="0.3">
      <c r="A39" s="1478" t="s">
        <v>28</v>
      </c>
      <c r="B39" s="1962" t="s">
        <v>496</v>
      </c>
      <c r="C39" s="1962"/>
      <c r="D39" s="113" t="s">
        <v>272</v>
      </c>
      <c r="E39" s="197" t="s">
        <v>83</v>
      </c>
      <c r="F39" s="56"/>
    </row>
    <row r="40" spans="1:8" ht="27" customHeight="1" thickBot="1" x14ac:dyDescent="0.35">
      <c r="A40" s="311"/>
      <c r="B40" s="198" t="s">
        <v>169</v>
      </c>
      <c r="C40" s="198" t="s">
        <v>81</v>
      </c>
      <c r="D40" s="199" t="s">
        <v>82</v>
      </c>
      <c r="E40" s="115" t="s">
        <v>84</v>
      </c>
      <c r="F40" s="56"/>
    </row>
    <row r="41" spans="1:8" ht="27" customHeight="1" thickBot="1" x14ac:dyDescent="0.35">
      <c r="A41" s="350" t="s">
        <v>548</v>
      </c>
      <c r="B41" s="120"/>
      <c r="C41" s="172">
        <v>109880</v>
      </c>
      <c r="D41" s="120">
        <v>83366</v>
      </c>
      <c r="E41" s="121">
        <f>+D41/C41*100</f>
        <v>75.870040043684014</v>
      </c>
      <c r="F41" s="58"/>
    </row>
    <row r="42" spans="1:8" ht="27" customHeight="1" thickBot="1" x14ac:dyDescent="0.35">
      <c r="A42" s="75"/>
      <c r="B42" s="228"/>
      <c r="C42" s="228"/>
      <c r="D42" s="228"/>
      <c r="E42" s="402"/>
    </row>
    <row r="43" spans="1:8" ht="27" customHeight="1" thickBot="1" x14ac:dyDescent="0.35">
      <c r="A43" s="1382" t="s">
        <v>284</v>
      </c>
      <c r="B43" s="229">
        <f>+B36+B41</f>
        <v>2380385</v>
      </c>
      <c r="C43" s="120">
        <f>+C36+C41</f>
        <v>2811247</v>
      </c>
      <c r="D43" s="400">
        <f>+D36+D41</f>
        <v>2670376</v>
      </c>
      <c r="E43" s="215">
        <f>+D43/C43*100</f>
        <v>94.989020886460708</v>
      </c>
      <c r="F43" s="23"/>
    </row>
    <row r="48" spans="1:8" ht="15" customHeight="1" x14ac:dyDescent="0.2">
      <c r="A48" s="36"/>
    </row>
  </sheetData>
  <mergeCells count="4">
    <mergeCell ref="A1:B1"/>
    <mergeCell ref="B5:C5"/>
    <mergeCell ref="B39:C39"/>
    <mergeCell ref="A2:E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8" orientation="portrait" r:id="rId1"/>
  <headerFooter alignWithMargins="0">
    <oddHeader xml:space="preserve">&amp;R&amp;"Arial,Félkövér"&amp;12 &amp;"Calibri,Félkövér"&amp;14 10. melléklet a  .../2025. (........) önkormányzati rendelethez&amp;11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8"/>
  <dimension ref="A1:H40"/>
  <sheetViews>
    <sheetView topLeftCell="A7" zoomScaleNormal="100" zoomScaleSheetLayoutView="100" workbookViewId="0">
      <selection activeCell="I30" sqref="I30"/>
    </sheetView>
  </sheetViews>
  <sheetFormatPr defaultColWidth="9.33203125" defaultRowHeight="15" customHeight="1" x14ac:dyDescent="0.2"/>
  <cols>
    <col min="1" max="1" width="105.83203125" style="1" customWidth="1"/>
    <col min="2" max="2" width="21" style="1" customWidth="1"/>
    <col min="3" max="3" width="20.33203125" style="1" customWidth="1"/>
    <col min="4" max="4" width="20.5" style="1" customWidth="1"/>
    <col min="5" max="5" width="19.6640625" style="1" customWidth="1"/>
    <col min="6" max="6" width="9.33203125" style="1"/>
    <col min="7" max="7" width="14" style="1" bestFit="1" customWidth="1"/>
    <col min="8" max="16384" width="9.33203125" style="1"/>
  </cols>
  <sheetData>
    <row r="1" spans="1:8" s="61" customFormat="1" ht="15" customHeight="1" x14ac:dyDescent="0.25">
      <c r="A1" s="1961"/>
      <c r="B1" s="1961"/>
    </row>
    <row r="2" spans="1:8" s="61" customFormat="1" ht="24" customHeight="1" x14ac:dyDescent="0.3">
      <c r="A2" s="1967" t="s">
        <v>20</v>
      </c>
      <c r="B2" s="1967"/>
      <c r="C2" s="1967"/>
      <c r="D2" s="1967"/>
      <c r="E2" s="1967"/>
    </row>
    <row r="3" spans="1:8" s="61" customFormat="1" ht="15" customHeight="1" x14ac:dyDescent="0.25">
      <c r="A3" s="60"/>
      <c r="B3" s="60"/>
    </row>
    <row r="4" spans="1:8" s="61" customFormat="1" ht="22.5" customHeight="1" thickBot="1" x14ac:dyDescent="0.3">
      <c r="A4" s="1435" t="s">
        <v>127</v>
      </c>
      <c r="B4" s="74"/>
      <c r="C4" s="74"/>
      <c r="D4" s="74"/>
      <c r="E4" s="90" t="s">
        <v>14</v>
      </c>
    </row>
    <row r="5" spans="1:8" s="61" customFormat="1" ht="22.5" customHeight="1" x14ac:dyDescent="0.3">
      <c r="A5" s="1434" t="s">
        <v>28</v>
      </c>
      <c r="B5" s="1962" t="s">
        <v>496</v>
      </c>
      <c r="C5" s="1962"/>
      <c r="D5" s="113" t="s">
        <v>272</v>
      </c>
      <c r="E5" s="227" t="s">
        <v>83</v>
      </c>
    </row>
    <row r="6" spans="1:8" s="61" customFormat="1" ht="36" customHeight="1" thickBot="1" x14ac:dyDescent="0.35">
      <c r="A6" s="1303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8" s="73" customFormat="1" ht="22.5" customHeight="1" thickBot="1" x14ac:dyDescent="0.35">
      <c r="A7" s="1479" t="s">
        <v>230</v>
      </c>
      <c r="B7" s="1261">
        <v>867213</v>
      </c>
      <c r="C7" s="1261">
        <v>1108530</v>
      </c>
      <c r="D7" s="1262">
        <v>883259</v>
      </c>
      <c r="E7" s="1263">
        <f>+D7/C7*100</f>
        <v>79.678402930006413</v>
      </c>
      <c r="G7" s="76"/>
      <c r="H7" s="76"/>
    </row>
    <row r="8" spans="1:8" s="61" customFormat="1" ht="22.5" customHeight="1" x14ac:dyDescent="0.3">
      <c r="A8" s="1480" t="s">
        <v>43</v>
      </c>
      <c r="B8" s="1250">
        <v>12000</v>
      </c>
      <c r="C8" s="1250">
        <v>0</v>
      </c>
      <c r="D8" s="1250"/>
      <c r="E8" s="1264"/>
      <c r="G8" s="76"/>
      <c r="H8" s="76"/>
    </row>
    <row r="9" spans="1:8" s="61" customFormat="1" ht="22.5" customHeight="1" x14ac:dyDescent="0.3">
      <c r="A9" s="320" t="s">
        <v>63</v>
      </c>
      <c r="B9" s="109">
        <v>800</v>
      </c>
      <c r="C9" s="109">
        <v>0</v>
      </c>
      <c r="D9" s="133"/>
      <c r="E9" s="203"/>
      <c r="G9" s="76"/>
      <c r="H9" s="76"/>
    </row>
    <row r="10" spans="1:8" s="61" customFormat="1" ht="22.5" customHeight="1" x14ac:dyDescent="0.3">
      <c r="A10" s="1474" t="s">
        <v>432</v>
      </c>
      <c r="B10" s="109">
        <v>500</v>
      </c>
      <c r="C10" s="109">
        <v>589</v>
      </c>
      <c r="D10" s="133"/>
      <c r="E10" s="203">
        <f t="shared" ref="E10:E21" si="0">+D10/C10*100</f>
        <v>0</v>
      </c>
      <c r="G10" s="76"/>
      <c r="H10" s="76"/>
    </row>
    <row r="11" spans="1:8" s="61" customFormat="1" ht="22.5" customHeight="1" x14ac:dyDescent="0.3">
      <c r="A11" s="320" t="s">
        <v>136</v>
      </c>
      <c r="B11" s="109">
        <v>2485</v>
      </c>
      <c r="C11" s="109">
        <v>3512</v>
      </c>
      <c r="D11" s="133">
        <v>3512</v>
      </c>
      <c r="E11" s="203">
        <f t="shared" si="0"/>
        <v>100</v>
      </c>
      <c r="G11" s="76"/>
      <c r="H11" s="76"/>
    </row>
    <row r="12" spans="1:8" s="61" customFormat="1" ht="22.5" customHeight="1" x14ac:dyDescent="0.3">
      <c r="A12" s="320" t="s">
        <v>53</v>
      </c>
      <c r="B12" s="109">
        <v>2500</v>
      </c>
      <c r="C12" s="109">
        <v>2500</v>
      </c>
      <c r="D12" s="133">
        <v>2500</v>
      </c>
      <c r="E12" s="203">
        <f t="shared" si="0"/>
        <v>100</v>
      </c>
      <c r="G12" s="76"/>
      <c r="H12" s="76"/>
    </row>
    <row r="13" spans="1:8" s="61" customFormat="1" ht="39.75" customHeight="1" x14ac:dyDescent="0.3">
      <c r="A13" s="321" t="s">
        <v>44</v>
      </c>
      <c r="B13" s="109">
        <v>2500</v>
      </c>
      <c r="C13" s="109">
        <v>2500</v>
      </c>
      <c r="D13" s="133">
        <v>2500</v>
      </c>
      <c r="E13" s="203">
        <f t="shared" si="0"/>
        <v>100</v>
      </c>
      <c r="G13" s="76"/>
      <c r="H13" s="76"/>
    </row>
    <row r="14" spans="1:8" s="61" customFormat="1" ht="22.5" customHeight="1" x14ac:dyDescent="0.3">
      <c r="A14" s="320" t="s">
        <v>67</v>
      </c>
      <c r="B14" s="109">
        <v>3000</v>
      </c>
      <c r="C14" s="109">
        <v>2000</v>
      </c>
      <c r="D14" s="133">
        <v>1914</v>
      </c>
      <c r="E14" s="203">
        <f t="shared" si="0"/>
        <v>95.7</v>
      </c>
      <c r="G14" s="76"/>
      <c r="H14" s="76"/>
    </row>
    <row r="15" spans="1:8" s="61" customFormat="1" ht="22.5" customHeight="1" x14ac:dyDescent="0.3">
      <c r="A15" s="320" t="s">
        <v>425</v>
      </c>
      <c r="B15" s="109">
        <v>6000</v>
      </c>
      <c r="C15" s="109">
        <v>6000</v>
      </c>
      <c r="D15" s="133">
        <v>6000</v>
      </c>
      <c r="E15" s="203">
        <f t="shared" si="0"/>
        <v>100</v>
      </c>
      <c r="G15" s="76"/>
      <c r="H15" s="76"/>
    </row>
    <row r="16" spans="1:8" s="61" customFormat="1" ht="22.5" customHeight="1" x14ac:dyDescent="0.3">
      <c r="A16" s="321" t="s">
        <v>507</v>
      </c>
      <c r="B16" s="109">
        <v>12000</v>
      </c>
      <c r="C16" s="109">
        <v>6979</v>
      </c>
      <c r="D16" s="133"/>
      <c r="E16" s="203">
        <f t="shared" si="0"/>
        <v>0</v>
      </c>
      <c r="G16" s="76"/>
      <c r="H16" s="76"/>
    </row>
    <row r="17" spans="1:8" s="61" customFormat="1" ht="22.5" customHeight="1" x14ac:dyDescent="0.3">
      <c r="A17" s="320" t="s">
        <v>317</v>
      </c>
      <c r="B17" s="109">
        <v>37290</v>
      </c>
      <c r="C17" s="109">
        <v>40599</v>
      </c>
      <c r="D17" s="109">
        <v>36103</v>
      </c>
      <c r="E17" s="203">
        <f t="shared" si="0"/>
        <v>88.925835611714575</v>
      </c>
      <c r="G17" s="76"/>
      <c r="H17" s="76"/>
    </row>
    <row r="18" spans="1:8" s="61" customFormat="1" ht="22.5" customHeight="1" x14ac:dyDescent="0.3">
      <c r="A18" s="320" t="s">
        <v>508</v>
      </c>
      <c r="B18" s="109">
        <v>2000</v>
      </c>
      <c r="C18" s="109">
        <v>2000</v>
      </c>
      <c r="D18" s="109">
        <v>2000</v>
      </c>
      <c r="E18" s="203">
        <f t="shared" si="0"/>
        <v>100</v>
      </c>
      <c r="G18" s="76"/>
      <c r="H18" s="76"/>
    </row>
    <row r="19" spans="1:8" s="61" customFormat="1" ht="22.5" customHeight="1" x14ac:dyDescent="0.3">
      <c r="A19" s="320" t="s">
        <v>189</v>
      </c>
      <c r="B19" s="109">
        <v>3000</v>
      </c>
      <c r="C19" s="109">
        <v>3819</v>
      </c>
      <c r="D19" s="109">
        <v>3215</v>
      </c>
      <c r="E19" s="203">
        <f t="shared" si="0"/>
        <v>84.184341450641526</v>
      </c>
      <c r="G19" s="76"/>
      <c r="H19" s="76"/>
    </row>
    <row r="20" spans="1:8" s="61" customFormat="1" ht="22.5" customHeight="1" thickBot="1" x14ac:dyDescent="0.35">
      <c r="A20" s="1481" t="s">
        <v>131</v>
      </c>
      <c r="B20" s="204">
        <f>SUM(B8:B19)</f>
        <v>84075</v>
      </c>
      <c r="C20" s="204">
        <f>SUM(C8:C19)</f>
        <v>70498</v>
      </c>
      <c r="D20" s="204">
        <f>SUM(D8:D19)</f>
        <v>57744</v>
      </c>
      <c r="E20" s="205">
        <f t="shared" si="0"/>
        <v>81.908706629975313</v>
      </c>
      <c r="G20" s="76"/>
      <c r="H20" s="76"/>
    </row>
    <row r="21" spans="1:8" s="73" customFormat="1" ht="22.5" customHeight="1" thickBot="1" x14ac:dyDescent="0.35">
      <c r="A21" s="1482" t="s">
        <v>285</v>
      </c>
      <c r="B21" s="230">
        <f>+B7+B20</f>
        <v>951288</v>
      </c>
      <c r="C21" s="129">
        <f>+C7+C20</f>
        <v>1179028</v>
      </c>
      <c r="D21" s="230">
        <f>+D7+D20</f>
        <v>941003</v>
      </c>
      <c r="E21" s="209">
        <f t="shared" si="0"/>
        <v>79.811760195686617</v>
      </c>
      <c r="G21" s="76"/>
      <c r="H21" s="76"/>
    </row>
    <row r="22" spans="1:8" s="61" customFormat="1" ht="15" customHeight="1" x14ac:dyDescent="0.25">
      <c r="A22" s="422"/>
      <c r="G22" s="76"/>
      <c r="H22" s="76"/>
    </row>
    <row r="23" spans="1:8" s="61" customFormat="1" ht="23.25" customHeight="1" thickBot="1" x14ac:dyDescent="0.3">
      <c r="A23" s="1339" t="s">
        <v>15</v>
      </c>
      <c r="B23" s="64"/>
      <c r="C23" s="64"/>
      <c r="D23" s="64"/>
      <c r="E23" s="77"/>
      <c r="G23" s="76"/>
      <c r="H23" s="76"/>
    </row>
    <row r="24" spans="1:8" s="61" customFormat="1" ht="22.5" customHeight="1" x14ac:dyDescent="0.3">
      <c r="A24" s="1434" t="s">
        <v>28</v>
      </c>
      <c r="B24" s="1962" t="s">
        <v>496</v>
      </c>
      <c r="C24" s="1962"/>
      <c r="D24" s="113" t="s">
        <v>272</v>
      </c>
      <c r="E24" s="227" t="s">
        <v>83</v>
      </c>
      <c r="G24" s="76"/>
      <c r="H24" s="76"/>
    </row>
    <row r="25" spans="1:8" s="61" customFormat="1" ht="22.5" customHeight="1" thickBot="1" x14ac:dyDescent="0.35">
      <c r="A25" s="1303"/>
      <c r="B25" s="198" t="s">
        <v>169</v>
      </c>
      <c r="C25" s="198" t="s">
        <v>81</v>
      </c>
      <c r="D25" s="199" t="s">
        <v>82</v>
      </c>
      <c r="E25" s="200" t="s">
        <v>84</v>
      </c>
      <c r="G25" s="76"/>
      <c r="H25" s="76"/>
    </row>
    <row r="26" spans="1:8" s="61" customFormat="1" ht="22.5" customHeight="1" thickBot="1" x14ac:dyDescent="0.35">
      <c r="A26" s="1382" t="s">
        <v>230</v>
      </c>
      <c r="B26" s="229">
        <v>2028</v>
      </c>
      <c r="C26" s="120">
        <v>6403</v>
      </c>
      <c r="D26" s="120">
        <v>3487</v>
      </c>
      <c r="E26" s="121">
        <f>+D26/C26*100</f>
        <v>54.458847415274093</v>
      </c>
      <c r="G26" s="76"/>
      <c r="H26" s="76"/>
    </row>
    <row r="27" spans="1:8" s="61" customFormat="1" ht="22.5" customHeight="1" thickBot="1" x14ac:dyDescent="0.35">
      <c r="A27" s="424"/>
      <c r="B27" s="175"/>
      <c r="C27" s="175"/>
      <c r="D27" s="231"/>
      <c r="E27" s="401"/>
      <c r="G27" s="76"/>
      <c r="H27" s="76"/>
    </row>
    <row r="28" spans="1:8" s="61" customFormat="1" ht="22.5" customHeight="1" thickBot="1" x14ac:dyDescent="0.35">
      <c r="A28" s="1382" t="s">
        <v>286</v>
      </c>
      <c r="B28" s="229">
        <f>+B21+B26</f>
        <v>953316</v>
      </c>
      <c r="C28" s="120">
        <f>+C21+C26</f>
        <v>1185431</v>
      </c>
      <c r="D28" s="120">
        <f>+D21+D26</f>
        <v>944490</v>
      </c>
      <c r="E28" s="121">
        <f>+D28/C28*100</f>
        <v>79.674818694635121</v>
      </c>
      <c r="G28" s="76"/>
      <c r="H28" s="76"/>
    </row>
    <row r="29" spans="1:8" ht="15" customHeight="1" x14ac:dyDescent="0.2">
      <c r="G29" s="3"/>
    </row>
    <row r="30" spans="1:8" ht="15" customHeight="1" x14ac:dyDescent="0.2">
      <c r="D30" s="3"/>
    </row>
    <row r="31" spans="1:8" ht="15" customHeight="1" x14ac:dyDescent="0.2">
      <c r="C31" s="3"/>
      <c r="D31" s="3"/>
      <c r="E31" s="3"/>
    </row>
    <row r="32" spans="1:8" ht="15" customHeight="1" x14ac:dyDescent="0.2">
      <c r="D32" s="3"/>
    </row>
    <row r="34" spans="1:4" ht="15" customHeight="1" x14ac:dyDescent="0.2">
      <c r="D34" s="3"/>
    </row>
    <row r="40" spans="1:4" ht="15" customHeight="1" x14ac:dyDescent="0.2">
      <c r="A40" s="26"/>
    </row>
  </sheetData>
  <mergeCells count="4">
    <mergeCell ref="A1:B1"/>
    <mergeCell ref="B5:C5"/>
    <mergeCell ref="B24:C24"/>
    <mergeCell ref="A2:E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65" orientation="portrait" r:id="rId1"/>
  <headerFooter alignWithMargins="0">
    <oddHeader xml:space="preserve">&amp;R&amp;"Calibri,Félkövér"&amp;11 11. melléklet a .../2025. (........) önkormányzati rendelethez&amp;"Arial,Félkövér"&amp;14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9"/>
  <dimension ref="A1:H40"/>
  <sheetViews>
    <sheetView zoomScaleNormal="100" workbookViewId="0">
      <selection activeCell="I30" sqref="I30"/>
    </sheetView>
  </sheetViews>
  <sheetFormatPr defaultColWidth="9.33203125" defaultRowHeight="15" customHeight="1" x14ac:dyDescent="0.2"/>
  <cols>
    <col min="1" max="1" width="88.33203125" style="1" customWidth="1"/>
    <col min="2" max="2" width="23.6640625" style="1" customWidth="1"/>
    <col min="3" max="3" width="23.1640625" style="3" customWidth="1"/>
    <col min="4" max="4" width="23.6640625" style="3" customWidth="1"/>
    <col min="5" max="5" width="22.33203125" style="1" customWidth="1"/>
    <col min="6" max="6" width="9.33203125" style="1"/>
    <col min="7" max="7" width="14" style="1" bestFit="1" customWidth="1"/>
    <col min="8" max="8" width="12.83203125" style="1" bestFit="1" customWidth="1"/>
    <col min="9" max="16384" width="9.33203125" style="1"/>
  </cols>
  <sheetData>
    <row r="1" spans="1:8" s="61" customFormat="1" ht="15" customHeight="1" x14ac:dyDescent="0.25">
      <c r="A1" s="1961"/>
      <c r="B1" s="1961"/>
      <c r="C1" s="76"/>
      <c r="D1" s="76"/>
    </row>
    <row r="2" spans="1:8" s="61" customFormat="1" ht="30.75" customHeight="1" x14ac:dyDescent="0.3">
      <c r="A2" s="1890" t="s">
        <v>314</v>
      </c>
      <c r="B2" s="1890"/>
      <c r="C2" s="1890"/>
      <c r="D2" s="1890"/>
      <c r="E2" s="1890"/>
    </row>
    <row r="3" spans="1:8" s="61" customFormat="1" ht="15" customHeight="1" x14ac:dyDescent="0.25">
      <c r="C3" s="76"/>
      <c r="D3" s="76"/>
    </row>
    <row r="4" spans="1:8" s="61" customFormat="1" ht="24" customHeight="1" thickBot="1" x14ac:dyDescent="0.3">
      <c r="A4" s="1435" t="s">
        <v>127</v>
      </c>
      <c r="B4" s="74"/>
      <c r="C4" s="86"/>
      <c r="D4" s="86"/>
      <c r="E4" s="77" t="s">
        <v>14</v>
      </c>
    </row>
    <row r="5" spans="1:8" s="61" customFormat="1" ht="24.75" customHeight="1" x14ac:dyDescent="0.3">
      <c r="A5" s="1434" t="s">
        <v>28</v>
      </c>
      <c r="B5" s="1962" t="s">
        <v>496</v>
      </c>
      <c r="C5" s="1962"/>
      <c r="D5" s="113" t="s">
        <v>272</v>
      </c>
      <c r="E5" s="227" t="s">
        <v>83</v>
      </c>
    </row>
    <row r="6" spans="1:8" s="61" customFormat="1" ht="24.75" customHeight="1" thickBot="1" x14ac:dyDescent="0.35">
      <c r="A6" s="1483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8" s="61" customFormat="1" ht="24.75" customHeight="1" thickBot="1" x14ac:dyDescent="0.35">
      <c r="A7" s="1484" t="s">
        <v>549</v>
      </c>
      <c r="B7" s="1288">
        <v>1713871</v>
      </c>
      <c r="C7" s="1288">
        <v>1779167</v>
      </c>
      <c r="D7" s="1288">
        <v>1759011</v>
      </c>
      <c r="E7" s="1289">
        <f>+D7/C7*100</f>
        <v>98.867110282508605</v>
      </c>
      <c r="G7" s="76"/>
      <c r="H7" s="76"/>
    </row>
    <row r="8" spans="1:8" s="61" customFormat="1" ht="24.75" customHeight="1" x14ac:dyDescent="0.3">
      <c r="A8" s="1485" t="s">
        <v>47</v>
      </c>
      <c r="B8" s="384">
        <v>241</v>
      </c>
      <c r="C8" s="384">
        <v>241</v>
      </c>
      <c r="D8" s="384">
        <v>226</v>
      </c>
      <c r="E8" s="116">
        <f t="shared" ref="E8:E11" si="0">+D8/C8*100</f>
        <v>93.7759336099585</v>
      </c>
      <c r="G8" s="76"/>
      <c r="H8" s="76"/>
    </row>
    <row r="9" spans="1:8" s="61" customFormat="1" ht="54" customHeight="1" thickBot="1" x14ac:dyDescent="0.35">
      <c r="A9" s="1476" t="s">
        <v>108</v>
      </c>
      <c r="B9" s="207">
        <v>3000</v>
      </c>
      <c r="C9" s="207">
        <v>3000</v>
      </c>
      <c r="D9" s="207"/>
      <c r="E9" s="203">
        <f t="shared" si="0"/>
        <v>0</v>
      </c>
      <c r="G9" s="76"/>
      <c r="H9" s="76"/>
    </row>
    <row r="10" spans="1:8" s="61" customFormat="1" ht="24.75" customHeight="1" thickBot="1" x14ac:dyDescent="0.35">
      <c r="A10" s="1382" t="s">
        <v>128</v>
      </c>
      <c r="B10" s="229">
        <f>SUM(B8:B9)</f>
        <v>3241</v>
      </c>
      <c r="C10" s="120">
        <f>SUM(C8:C9)</f>
        <v>3241</v>
      </c>
      <c r="D10" s="229">
        <f>SUM(D8:D9)</f>
        <v>226</v>
      </c>
      <c r="E10" s="209">
        <f t="shared" si="0"/>
        <v>6.9731564331996303</v>
      </c>
      <c r="G10" s="76"/>
      <c r="H10" s="76"/>
    </row>
    <row r="11" spans="1:8" s="61" customFormat="1" ht="24" customHeight="1" thickBot="1" x14ac:dyDescent="0.35">
      <c r="A11" s="1399" t="s">
        <v>287</v>
      </c>
      <c r="B11" s="230">
        <f>+B7+B10</f>
        <v>1717112</v>
      </c>
      <c r="C11" s="129">
        <f>+C7+C10</f>
        <v>1782408</v>
      </c>
      <c r="D11" s="230">
        <f>+D7+D10</f>
        <v>1759237</v>
      </c>
      <c r="E11" s="209">
        <f t="shared" si="0"/>
        <v>98.700017055578755</v>
      </c>
      <c r="G11" s="76"/>
      <c r="H11" s="76"/>
    </row>
    <row r="12" spans="1:8" s="61" customFormat="1" ht="20.100000000000001" customHeight="1" x14ac:dyDescent="0.25">
      <c r="A12" s="1356"/>
      <c r="B12" s="72"/>
      <c r="C12" s="72"/>
      <c r="D12" s="72"/>
      <c r="E12" s="92"/>
      <c r="G12" s="76"/>
      <c r="H12" s="76"/>
    </row>
    <row r="13" spans="1:8" s="61" customFormat="1" ht="24.75" customHeight="1" thickBot="1" x14ac:dyDescent="0.3">
      <c r="A13" s="1435" t="s">
        <v>15</v>
      </c>
      <c r="B13" s="72"/>
      <c r="C13" s="72"/>
      <c r="D13" s="72"/>
      <c r="E13" s="92"/>
      <c r="G13" s="76"/>
      <c r="H13" s="76"/>
    </row>
    <row r="14" spans="1:8" s="61" customFormat="1" ht="24.75" customHeight="1" x14ac:dyDescent="0.3">
      <c r="A14" s="1434" t="s">
        <v>28</v>
      </c>
      <c r="B14" s="1962" t="s">
        <v>496</v>
      </c>
      <c r="C14" s="1962"/>
      <c r="D14" s="113" t="s">
        <v>272</v>
      </c>
      <c r="E14" s="227" t="s">
        <v>83</v>
      </c>
      <c r="G14" s="76"/>
      <c r="H14" s="76"/>
    </row>
    <row r="15" spans="1:8" s="61" customFormat="1" ht="24.75" customHeight="1" thickBot="1" x14ac:dyDescent="0.35">
      <c r="A15" s="1303"/>
      <c r="B15" s="198" t="s">
        <v>169</v>
      </c>
      <c r="C15" s="198" t="s">
        <v>81</v>
      </c>
      <c r="D15" s="199" t="s">
        <v>82</v>
      </c>
      <c r="E15" s="200" t="s">
        <v>84</v>
      </c>
      <c r="G15" s="76"/>
      <c r="H15" s="76"/>
    </row>
    <row r="16" spans="1:8" s="61" customFormat="1" ht="24.75" customHeight="1" thickBot="1" x14ac:dyDescent="0.35">
      <c r="A16" s="350" t="s">
        <v>549</v>
      </c>
      <c r="B16" s="229">
        <v>0</v>
      </c>
      <c r="C16" s="229">
        <v>82564</v>
      </c>
      <c r="D16" s="229">
        <v>70069</v>
      </c>
      <c r="E16" s="215">
        <f>+D16/C16*100</f>
        <v>84.866285548180812</v>
      </c>
      <c r="G16" s="76"/>
      <c r="H16" s="76"/>
    </row>
    <row r="17" spans="1:8" s="61" customFormat="1" ht="24.75" customHeight="1" thickBot="1" x14ac:dyDescent="0.35">
      <c r="A17" s="424"/>
      <c r="B17" s="175"/>
      <c r="C17" s="175"/>
      <c r="D17" s="231"/>
      <c r="E17" s="172"/>
      <c r="G17" s="76"/>
    </row>
    <row r="18" spans="1:8" s="61" customFormat="1" ht="24.75" customHeight="1" thickBot="1" x14ac:dyDescent="0.35">
      <c r="A18" s="1382" t="s">
        <v>288</v>
      </c>
      <c r="B18" s="120">
        <f>B11+B16</f>
        <v>1717112</v>
      </c>
      <c r="C18" s="120">
        <f>C11+C16</f>
        <v>1864972</v>
      </c>
      <c r="D18" s="120">
        <f>D11+D16</f>
        <v>1829306</v>
      </c>
      <c r="E18" s="215">
        <f>+D18/C18*100</f>
        <v>98.087585229161618</v>
      </c>
      <c r="G18" s="76"/>
      <c r="H18" s="76"/>
    </row>
    <row r="21" spans="1:8" ht="15" customHeight="1" x14ac:dyDescent="0.2">
      <c r="A21" s="7"/>
    </row>
    <row r="40" spans="1:1" ht="15" customHeight="1" x14ac:dyDescent="0.2">
      <c r="A40" s="29"/>
    </row>
  </sheetData>
  <mergeCells count="4">
    <mergeCell ref="A1:B1"/>
    <mergeCell ref="B5:C5"/>
    <mergeCell ref="B14:C14"/>
    <mergeCell ref="A2:E2"/>
  </mergeCells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5" orientation="portrait" r:id="rId1"/>
  <headerFooter alignWithMargins="0">
    <oddHeader>&amp;R&amp;"Calibri,Félkövér"&amp;12 12. melléklet a .../2025. (........) önkormányzati rendelethez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0"/>
  <dimension ref="A1:M112"/>
  <sheetViews>
    <sheetView zoomScale="98" zoomScaleNormal="98" zoomScaleSheetLayoutView="100" workbookViewId="0">
      <selection activeCell="I30" sqref="I30"/>
    </sheetView>
  </sheetViews>
  <sheetFormatPr defaultColWidth="9.33203125" defaultRowHeight="15" customHeight="1" x14ac:dyDescent="0.2"/>
  <cols>
    <col min="1" max="1" width="121.83203125" style="1" customWidth="1"/>
    <col min="2" max="2" width="25" style="1" customWidth="1"/>
    <col min="3" max="3" width="24.6640625" style="3" customWidth="1"/>
    <col min="4" max="4" width="25" style="3" customWidth="1"/>
    <col min="5" max="5" width="21" style="1" customWidth="1"/>
    <col min="6" max="7" width="19.1640625" style="1" customWidth="1"/>
    <col min="8" max="8" width="32.1640625" style="1" bestFit="1" customWidth="1"/>
    <col min="9" max="9" width="9.33203125" style="1"/>
    <col min="10" max="10" width="17.33203125" style="1" customWidth="1"/>
    <col min="11" max="11" width="21.83203125" style="1" customWidth="1"/>
    <col min="12" max="12" width="11" style="1" bestFit="1" customWidth="1"/>
    <col min="13" max="13" width="19.6640625" style="1" customWidth="1"/>
    <col min="14" max="16384" width="9.33203125" style="1"/>
  </cols>
  <sheetData>
    <row r="1" spans="1:7" ht="8.25" customHeight="1" x14ac:dyDescent="0.25">
      <c r="A1" s="1968"/>
      <c r="B1" s="1968"/>
    </row>
    <row r="2" spans="1:7" s="61" customFormat="1" ht="33" customHeight="1" x14ac:dyDescent="0.3">
      <c r="A2" s="1890" t="s">
        <v>177</v>
      </c>
      <c r="B2" s="1890"/>
      <c r="C2" s="1890"/>
      <c r="D2" s="1890"/>
      <c r="E2" s="1890"/>
    </row>
    <row r="3" spans="1:7" s="61" customFormat="1" ht="29.25" customHeight="1" thickBot="1" x14ac:dyDescent="0.3">
      <c r="B3" s="77"/>
      <c r="C3" s="64"/>
      <c r="D3" s="64"/>
      <c r="E3" s="90" t="s">
        <v>14</v>
      </c>
    </row>
    <row r="4" spans="1:7" s="61" customFormat="1" ht="23.25" customHeight="1" x14ac:dyDescent="0.3">
      <c r="A4" s="1434" t="s">
        <v>28</v>
      </c>
      <c r="B4" s="1962" t="s">
        <v>496</v>
      </c>
      <c r="C4" s="1962"/>
      <c r="D4" s="113" t="s">
        <v>272</v>
      </c>
      <c r="E4" s="227" t="s">
        <v>83</v>
      </c>
    </row>
    <row r="5" spans="1:7" s="61" customFormat="1" ht="23.25" customHeight="1" thickBot="1" x14ac:dyDescent="0.35">
      <c r="A5" s="1384"/>
      <c r="B5" s="198" t="s">
        <v>169</v>
      </c>
      <c r="C5" s="198" t="s">
        <v>81</v>
      </c>
      <c r="D5" s="199" t="s">
        <v>82</v>
      </c>
      <c r="E5" s="200" t="s">
        <v>84</v>
      </c>
    </row>
    <row r="6" spans="1:7" s="61" customFormat="1" ht="23.25" customHeight="1" x14ac:dyDescent="0.3">
      <c r="A6" s="1331" t="s">
        <v>1175</v>
      </c>
      <c r="B6" s="122">
        <v>205809</v>
      </c>
      <c r="C6" s="122">
        <v>218668</v>
      </c>
      <c r="D6" s="122">
        <v>195334</v>
      </c>
      <c r="E6" s="1239">
        <f t="shared" ref="E6:E62" si="0">+D6/C6*100</f>
        <v>89.329028481533641</v>
      </c>
      <c r="F6" s="76"/>
      <c r="G6" s="76"/>
    </row>
    <row r="7" spans="1:7" s="61" customFormat="1" ht="23.25" customHeight="1" thickBot="1" x14ac:dyDescent="0.35">
      <c r="A7" s="1486" t="s">
        <v>40</v>
      </c>
      <c r="B7" s="1265">
        <v>2973792</v>
      </c>
      <c r="C7" s="1265">
        <v>3277813</v>
      </c>
      <c r="D7" s="1265">
        <v>3041731</v>
      </c>
      <c r="E7" s="1266">
        <f t="shared" si="0"/>
        <v>92.79757570062722</v>
      </c>
      <c r="F7" s="76"/>
      <c r="G7" s="76"/>
    </row>
    <row r="8" spans="1:7" s="61" customFormat="1" ht="23.25" customHeight="1" thickBot="1" x14ac:dyDescent="0.35">
      <c r="A8" s="1482" t="s">
        <v>310</v>
      </c>
      <c r="B8" s="129">
        <f>+B6+B7</f>
        <v>3179601</v>
      </c>
      <c r="C8" s="129">
        <f t="shared" ref="C8:D8" si="1">+C6+C7</f>
        <v>3496481</v>
      </c>
      <c r="D8" s="129">
        <f t="shared" si="1"/>
        <v>3237065</v>
      </c>
      <c r="E8" s="1238">
        <f t="shared" si="0"/>
        <v>92.580654663932108</v>
      </c>
      <c r="F8" s="76"/>
      <c r="G8" s="76"/>
    </row>
    <row r="9" spans="1:7" s="61" customFormat="1" ht="23.25" customHeight="1" x14ac:dyDescent="0.3">
      <c r="A9" s="1487" t="s">
        <v>173</v>
      </c>
      <c r="B9" s="122"/>
      <c r="C9" s="222"/>
      <c r="D9" s="222"/>
      <c r="E9" s="235"/>
      <c r="F9" s="76"/>
      <c r="G9" s="76"/>
    </row>
    <row r="10" spans="1:7" s="61" customFormat="1" ht="23.25" customHeight="1" x14ac:dyDescent="0.3">
      <c r="A10" s="1488" t="s">
        <v>7</v>
      </c>
      <c r="B10" s="1254">
        <v>250000</v>
      </c>
      <c r="C10" s="1254">
        <v>266286</v>
      </c>
      <c r="D10" s="1243">
        <v>436339</v>
      </c>
      <c r="E10" s="1267">
        <f t="shared" si="0"/>
        <v>163.86103662978903</v>
      </c>
      <c r="F10" s="76"/>
      <c r="G10" s="76"/>
    </row>
    <row r="11" spans="1:7" s="61" customFormat="1" ht="23.25" customHeight="1" x14ac:dyDescent="0.3">
      <c r="A11" s="1489" t="s">
        <v>174</v>
      </c>
      <c r="B11" s="1246">
        <v>700000</v>
      </c>
      <c r="C11" s="1246">
        <v>700000</v>
      </c>
      <c r="D11" s="1246">
        <v>1096041</v>
      </c>
      <c r="E11" s="1245">
        <f t="shared" si="0"/>
        <v>156.57728571428572</v>
      </c>
      <c r="F11" s="76"/>
      <c r="G11" s="76"/>
    </row>
    <row r="12" spans="1:7" s="61" customFormat="1" ht="23.25" customHeight="1" x14ac:dyDescent="0.3">
      <c r="A12" s="1489" t="s">
        <v>292</v>
      </c>
      <c r="B12" s="1246">
        <v>220000</v>
      </c>
      <c r="C12" s="1246">
        <v>300000</v>
      </c>
      <c r="D12" s="1247"/>
      <c r="E12" s="1245">
        <f t="shared" si="0"/>
        <v>0</v>
      </c>
      <c r="F12" s="76"/>
      <c r="G12" s="76"/>
    </row>
    <row r="13" spans="1:7" s="61" customFormat="1" ht="23.25" customHeight="1" x14ac:dyDescent="0.3">
      <c r="A13" s="1489" t="s">
        <v>147</v>
      </c>
      <c r="B13" s="1246"/>
      <c r="C13" s="1246">
        <v>6140</v>
      </c>
      <c r="D13" s="1246">
        <v>6140</v>
      </c>
      <c r="E13" s="1245">
        <f t="shared" si="0"/>
        <v>100</v>
      </c>
      <c r="F13" s="76"/>
      <c r="G13" s="76"/>
    </row>
    <row r="14" spans="1:7" s="61" customFormat="1" ht="23.25" customHeight="1" x14ac:dyDescent="0.3">
      <c r="A14" s="1489" t="s">
        <v>275</v>
      </c>
      <c r="B14" s="1246"/>
      <c r="C14" s="1246">
        <v>75865</v>
      </c>
      <c r="D14" s="1246">
        <v>75865</v>
      </c>
      <c r="E14" s="1245">
        <f t="shared" si="0"/>
        <v>100</v>
      </c>
      <c r="F14" s="76"/>
      <c r="G14" s="76"/>
    </row>
    <row r="15" spans="1:7" s="61" customFormat="1" ht="23.25" customHeight="1" x14ac:dyDescent="0.3">
      <c r="A15" s="1489" t="s">
        <v>6</v>
      </c>
      <c r="B15" s="1246">
        <v>538480</v>
      </c>
      <c r="C15" s="1246">
        <v>538480</v>
      </c>
      <c r="D15" s="1246">
        <v>538480</v>
      </c>
      <c r="E15" s="1268">
        <f t="shared" si="0"/>
        <v>100</v>
      </c>
      <c r="F15" s="76"/>
      <c r="G15" s="76"/>
    </row>
    <row r="16" spans="1:7" s="61" customFormat="1" ht="23.25" customHeight="1" x14ac:dyDescent="0.3">
      <c r="A16" s="1490" t="s">
        <v>657</v>
      </c>
      <c r="B16" s="236">
        <f>SUM(B10:B15)</f>
        <v>1708480</v>
      </c>
      <c r="C16" s="237">
        <f>SUM(C10:C15)</f>
        <v>1886771</v>
      </c>
      <c r="D16" s="237">
        <f>SUM(D10:D15)</f>
        <v>2152865</v>
      </c>
      <c r="E16" s="238">
        <f t="shared" si="0"/>
        <v>114.10314235272855</v>
      </c>
      <c r="F16" s="76"/>
      <c r="G16" s="76"/>
    </row>
    <row r="17" spans="1:7" s="61" customFormat="1" ht="23.25" customHeight="1" x14ac:dyDescent="0.3">
      <c r="A17" s="1491" t="s">
        <v>25</v>
      </c>
      <c r="B17" s="107"/>
      <c r="C17" s="107"/>
      <c r="D17" s="107"/>
      <c r="E17" s="405"/>
      <c r="F17" s="76"/>
      <c r="G17" s="76"/>
    </row>
    <row r="18" spans="1:7" s="61" customFormat="1" ht="23.25" customHeight="1" x14ac:dyDescent="0.3">
      <c r="A18" s="1492" t="s">
        <v>475</v>
      </c>
      <c r="B18" s="1254">
        <v>130000</v>
      </c>
      <c r="C18" s="1254">
        <v>85391</v>
      </c>
      <c r="D18" s="1269">
        <v>85391</v>
      </c>
      <c r="E18" s="1270">
        <f t="shared" si="0"/>
        <v>100</v>
      </c>
      <c r="F18" s="76"/>
      <c r="G18" s="76"/>
    </row>
    <row r="19" spans="1:7" s="61" customFormat="1" ht="23.25" customHeight="1" x14ac:dyDescent="0.3">
      <c r="A19" s="1493" t="s">
        <v>318</v>
      </c>
      <c r="B19" s="1243">
        <v>50000</v>
      </c>
      <c r="C19" s="1243">
        <v>94383</v>
      </c>
      <c r="D19" s="1243">
        <v>94383</v>
      </c>
      <c r="E19" s="1267">
        <f t="shared" si="0"/>
        <v>100</v>
      </c>
      <c r="F19" s="76"/>
      <c r="G19" s="76"/>
    </row>
    <row r="20" spans="1:7" s="61" customFormat="1" ht="23.25" customHeight="1" x14ac:dyDescent="0.3">
      <c r="A20" s="1494" t="s">
        <v>210</v>
      </c>
      <c r="B20" s="109">
        <v>17500</v>
      </c>
      <c r="C20" s="109">
        <v>26600</v>
      </c>
      <c r="D20" s="109">
        <v>12399</v>
      </c>
      <c r="E20" s="240">
        <f t="shared" si="0"/>
        <v>46.612781954887218</v>
      </c>
      <c r="F20" s="76"/>
      <c r="G20" s="76"/>
    </row>
    <row r="21" spans="1:7" s="61" customFormat="1" ht="23.25" customHeight="1" x14ac:dyDescent="0.3">
      <c r="A21" s="1493" t="s">
        <v>8</v>
      </c>
      <c r="B21" s="1243">
        <v>15000</v>
      </c>
      <c r="C21" s="1243">
        <v>15000</v>
      </c>
      <c r="D21" s="1271">
        <v>14986</v>
      </c>
      <c r="E21" s="1270">
        <f t="shared" si="0"/>
        <v>99.906666666666666</v>
      </c>
      <c r="F21" s="76"/>
      <c r="G21" s="76"/>
    </row>
    <row r="22" spans="1:7" s="61" customFormat="1" ht="23.25" customHeight="1" x14ac:dyDescent="0.3">
      <c r="A22" s="320" t="s">
        <v>113</v>
      </c>
      <c r="B22" s="109">
        <v>4000</v>
      </c>
      <c r="C22" s="109">
        <v>4000</v>
      </c>
      <c r="D22" s="239">
        <v>3962</v>
      </c>
      <c r="E22" s="241">
        <f t="shared" si="0"/>
        <v>99.050000000000011</v>
      </c>
      <c r="F22" s="76"/>
      <c r="G22" s="76"/>
    </row>
    <row r="23" spans="1:7" s="61" customFormat="1" ht="23.25" customHeight="1" x14ac:dyDescent="0.3">
      <c r="A23" s="320" t="s">
        <v>79</v>
      </c>
      <c r="B23" s="109">
        <v>1000</v>
      </c>
      <c r="C23" s="109">
        <v>850</v>
      </c>
      <c r="D23" s="239">
        <v>397</v>
      </c>
      <c r="E23" s="241">
        <f t="shared" si="0"/>
        <v>46.705882352941174</v>
      </c>
      <c r="F23" s="76"/>
      <c r="G23" s="76"/>
    </row>
    <row r="24" spans="1:7" s="61" customFormat="1" ht="23.25" customHeight="1" x14ac:dyDescent="0.3">
      <c r="A24" s="1492" t="s">
        <v>202</v>
      </c>
      <c r="B24" s="1254">
        <v>13040</v>
      </c>
      <c r="C24" s="1254">
        <v>13040</v>
      </c>
      <c r="D24" s="1254">
        <v>13040</v>
      </c>
      <c r="E24" s="1267">
        <f t="shared" si="0"/>
        <v>100</v>
      </c>
      <c r="F24" s="76"/>
      <c r="G24" s="76"/>
    </row>
    <row r="25" spans="1:7" s="61" customFormat="1" ht="23.25" customHeight="1" x14ac:dyDescent="0.3">
      <c r="A25" s="1495" t="s">
        <v>476</v>
      </c>
      <c r="B25" s="123">
        <v>1200</v>
      </c>
      <c r="C25" s="123">
        <v>1200</v>
      </c>
      <c r="D25" s="307">
        <v>1200</v>
      </c>
      <c r="E25" s="203">
        <f t="shared" si="0"/>
        <v>100</v>
      </c>
      <c r="F25" s="76"/>
      <c r="G25" s="76"/>
    </row>
    <row r="26" spans="1:7" s="61" customFormat="1" ht="23.25" customHeight="1" x14ac:dyDescent="0.3">
      <c r="A26" s="1495" t="s">
        <v>401</v>
      </c>
      <c r="B26" s="123">
        <v>1500</v>
      </c>
      <c r="C26" s="123">
        <v>1500</v>
      </c>
      <c r="D26" s="307"/>
      <c r="E26" s="203">
        <f t="shared" si="0"/>
        <v>0</v>
      </c>
      <c r="F26" s="76"/>
      <c r="G26" s="76"/>
    </row>
    <row r="27" spans="1:7" s="61" customFormat="1" ht="23.25" customHeight="1" x14ac:dyDescent="0.3">
      <c r="A27" s="1496" t="s">
        <v>509</v>
      </c>
      <c r="B27" s="109">
        <v>1000</v>
      </c>
      <c r="C27" s="123">
        <v>1000</v>
      </c>
      <c r="D27" s="307">
        <v>1000</v>
      </c>
      <c r="E27" s="203">
        <f t="shared" si="0"/>
        <v>100</v>
      </c>
      <c r="F27" s="76"/>
      <c r="G27" s="76"/>
    </row>
    <row r="28" spans="1:7" s="61" customFormat="1" ht="23.25" customHeight="1" x14ac:dyDescent="0.3">
      <c r="A28" s="320" t="s">
        <v>510</v>
      </c>
      <c r="B28" s="123">
        <v>1500</v>
      </c>
      <c r="C28" s="123">
        <v>1500</v>
      </c>
      <c r="D28" s="307">
        <v>1500</v>
      </c>
      <c r="E28" s="203">
        <f t="shared" si="0"/>
        <v>100</v>
      </c>
      <c r="F28" s="76"/>
      <c r="G28" s="76"/>
    </row>
    <row r="29" spans="1:7" s="61" customFormat="1" ht="23.25" customHeight="1" x14ac:dyDescent="0.3">
      <c r="A29" s="1449" t="s">
        <v>571</v>
      </c>
      <c r="B29" s="123"/>
      <c r="C29" s="123">
        <v>3000</v>
      </c>
      <c r="D29" s="307"/>
      <c r="E29" s="203">
        <f t="shared" si="0"/>
        <v>0</v>
      </c>
      <c r="F29" s="76"/>
      <c r="G29" s="76"/>
    </row>
    <row r="30" spans="1:7" s="61" customFormat="1" ht="23.25" customHeight="1" x14ac:dyDescent="0.3">
      <c r="A30" s="1449" t="s">
        <v>176</v>
      </c>
      <c r="B30" s="123">
        <v>3154</v>
      </c>
      <c r="C30" s="123">
        <v>3168</v>
      </c>
      <c r="D30" s="242">
        <v>2932</v>
      </c>
      <c r="E30" s="203">
        <f t="shared" si="0"/>
        <v>92.550505050505052</v>
      </c>
      <c r="F30" s="76"/>
      <c r="G30" s="76"/>
    </row>
    <row r="31" spans="1:7" s="61" customFormat="1" ht="23.25" customHeight="1" x14ac:dyDescent="0.3">
      <c r="A31" s="320" t="s">
        <v>175</v>
      </c>
      <c r="B31" s="109">
        <v>4200</v>
      </c>
      <c r="C31" s="109">
        <v>4200</v>
      </c>
      <c r="D31" s="239">
        <v>3970</v>
      </c>
      <c r="E31" s="241">
        <f t="shared" si="0"/>
        <v>94.523809523809518</v>
      </c>
      <c r="F31" s="76"/>
      <c r="G31" s="76"/>
    </row>
    <row r="32" spans="1:7" s="61" customFormat="1" ht="23.25" customHeight="1" x14ac:dyDescent="0.3">
      <c r="A32" s="320" t="s">
        <v>172</v>
      </c>
      <c r="B32" s="109">
        <v>10000</v>
      </c>
      <c r="C32" s="109">
        <v>34097</v>
      </c>
      <c r="D32" s="239">
        <v>24336</v>
      </c>
      <c r="E32" s="241">
        <f t="shared" si="0"/>
        <v>71.372848051148196</v>
      </c>
      <c r="F32" s="76"/>
      <c r="G32" s="76"/>
    </row>
    <row r="33" spans="1:7" s="61" customFormat="1" ht="23.25" customHeight="1" x14ac:dyDescent="0.3">
      <c r="A33" s="320" t="s">
        <v>378</v>
      </c>
      <c r="B33" s="109">
        <v>2000</v>
      </c>
      <c r="C33" s="109">
        <v>2000</v>
      </c>
      <c r="D33" s="243">
        <v>304</v>
      </c>
      <c r="E33" s="241">
        <f t="shared" si="0"/>
        <v>15.2</v>
      </c>
      <c r="F33" s="76"/>
      <c r="G33" s="76"/>
    </row>
    <row r="34" spans="1:7" s="61" customFormat="1" ht="23.25" customHeight="1" x14ac:dyDescent="0.3">
      <c r="A34" s="320" t="s">
        <v>477</v>
      </c>
      <c r="B34" s="109">
        <v>1568000</v>
      </c>
      <c r="C34" s="109">
        <v>1579650</v>
      </c>
      <c r="D34" s="243">
        <v>1560557</v>
      </c>
      <c r="E34" s="241">
        <f t="shared" si="0"/>
        <v>98.791314531700053</v>
      </c>
      <c r="F34" s="76"/>
      <c r="G34" s="76"/>
    </row>
    <row r="35" spans="1:7" s="61" customFormat="1" ht="42.75" customHeight="1" x14ac:dyDescent="0.3">
      <c r="A35" s="1474" t="s">
        <v>479</v>
      </c>
      <c r="B35" s="109">
        <v>1956</v>
      </c>
      <c r="C35" s="109">
        <v>1956</v>
      </c>
      <c r="D35" s="244">
        <v>1956</v>
      </c>
      <c r="E35" s="241">
        <f t="shared" si="0"/>
        <v>100</v>
      </c>
      <c r="F35" s="76"/>
      <c r="G35" s="76"/>
    </row>
    <row r="36" spans="1:7" s="61" customFormat="1" ht="23.25" customHeight="1" x14ac:dyDescent="0.3">
      <c r="A36" s="1492" t="s">
        <v>575</v>
      </c>
      <c r="B36" s="1254">
        <v>225196</v>
      </c>
      <c r="C36" s="1254">
        <v>254517</v>
      </c>
      <c r="D36" s="1254">
        <f>27320+70728+110987+44969</f>
        <v>254004</v>
      </c>
      <c r="E36" s="1267">
        <f t="shared" si="0"/>
        <v>99.798441754381827</v>
      </c>
      <c r="F36" s="76"/>
      <c r="G36" s="76"/>
    </row>
    <row r="37" spans="1:7" s="61" customFormat="1" ht="23.25" customHeight="1" x14ac:dyDescent="0.3">
      <c r="A37" s="1492" t="s">
        <v>242</v>
      </c>
      <c r="B37" s="1254">
        <v>3670722</v>
      </c>
      <c r="C37" s="1254">
        <v>3670722</v>
      </c>
      <c r="D37" s="1254">
        <v>3670722</v>
      </c>
      <c r="E37" s="1267">
        <f t="shared" si="0"/>
        <v>100</v>
      </c>
      <c r="F37" s="76"/>
      <c r="G37" s="76"/>
    </row>
    <row r="38" spans="1:7" s="61" customFormat="1" ht="23.25" customHeight="1" x14ac:dyDescent="0.3">
      <c r="A38" s="1497" t="s">
        <v>478</v>
      </c>
      <c r="B38" s="226"/>
      <c r="C38" s="226">
        <v>5500</v>
      </c>
      <c r="D38" s="247">
        <v>4100</v>
      </c>
      <c r="E38" s="241">
        <f t="shared" si="0"/>
        <v>74.545454545454547</v>
      </c>
      <c r="F38" s="76"/>
      <c r="G38" s="76"/>
    </row>
    <row r="39" spans="1:7" s="61" customFormat="1" ht="24" customHeight="1" x14ac:dyDescent="0.3">
      <c r="A39" s="1497" t="s">
        <v>443</v>
      </c>
      <c r="B39" s="226">
        <v>3810</v>
      </c>
      <c r="C39" s="226">
        <v>3810</v>
      </c>
      <c r="D39" s="243">
        <v>3810</v>
      </c>
      <c r="E39" s="241">
        <f t="shared" si="0"/>
        <v>100</v>
      </c>
      <c r="F39" s="76"/>
      <c r="G39" s="76"/>
    </row>
    <row r="40" spans="1:7" s="61" customFormat="1" ht="18.75" x14ac:dyDescent="0.3">
      <c r="A40" s="1497" t="s">
        <v>550</v>
      </c>
      <c r="B40" s="226"/>
      <c r="C40" s="226">
        <v>5000</v>
      </c>
      <c r="D40" s="243"/>
      <c r="E40" s="241">
        <f t="shared" si="0"/>
        <v>0</v>
      </c>
      <c r="F40" s="76"/>
      <c r="G40" s="76"/>
    </row>
    <row r="41" spans="1:7" s="61" customFormat="1" ht="23.25" customHeight="1" x14ac:dyDescent="0.3">
      <c r="A41" s="1498" t="s">
        <v>341</v>
      </c>
      <c r="B41" s="226"/>
      <c r="C41" s="226"/>
      <c r="D41" s="243"/>
      <c r="E41" s="241"/>
      <c r="F41" s="76"/>
      <c r="G41" s="76"/>
    </row>
    <row r="42" spans="1:7" s="61" customFormat="1" ht="23.25" customHeight="1" x14ac:dyDescent="0.3">
      <c r="A42" s="320" t="s">
        <v>342</v>
      </c>
      <c r="B42" s="109">
        <v>129000</v>
      </c>
      <c r="C42" s="109">
        <v>180000</v>
      </c>
      <c r="D42" s="109">
        <v>179000</v>
      </c>
      <c r="E42" s="241">
        <f t="shared" si="0"/>
        <v>99.444444444444443</v>
      </c>
      <c r="F42" s="76"/>
      <c r="G42" s="76"/>
    </row>
    <row r="43" spans="1:7" s="61" customFormat="1" ht="40.5" customHeight="1" x14ac:dyDescent="0.3">
      <c r="A43" s="1474" t="s">
        <v>410</v>
      </c>
      <c r="B43" s="109">
        <v>70000</v>
      </c>
      <c r="C43" s="109">
        <v>98978</v>
      </c>
      <c r="D43" s="239">
        <v>98494</v>
      </c>
      <c r="E43" s="241">
        <f t="shared" si="0"/>
        <v>99.511002444987767</v>
      </c>
      <c r="F43" s="76"/>
      <c r="G43" s="76"/>
    </row>
    <row r="44" spans="1:7" s="61" customFormat="1" ht="23.25" customHeight="1" x14ac:dyDescent="0.3">
      <c r="A44" s="1498" t="s">
        <v>319</v>
      </c>
      <c r="B44" s="226"/>
      <c r="C44" s="226"/>
      <c r="D44" s="243"/>
      <c r="E44" s="241"/>
      <c r="F44" s="76"/>
      <c r="G44" s="76"/>
    </row>
    <row r="45" spans="1:7" s="61" customFormat="1" ht="23.25" customHeight="1" x14ac:dyDescent="0.3">
      <c r="A45" s="320" t="s">
        <v>402</v>
      </c>
      <c r="B45" s="109">
        <v>1000</v>
      </c>
      <c r="C45" s="109">
        <v>2050</v>
      </c>
      <c r="D45" s="239">
        <v>2050</v>
      </c>
      <c r="E45" s="241">
        <f t="shared" si="0"/>
        <v>100</v>
      </c>
      <c r="F45" s="76"/>
      <c r="G45" s="76"/>
    </row>
    <row r="46" spans="1:7" s="61" customFormat="1" ht="23.25" customHeight="1" x14ac:dyDescent="0.3">
      <c r="A46" s="320" t="s">
        <v>165</v>
      </c>
      <c r="B46" s="109">
        <v>6000</v>
      </c>
      <c r="C46" s="109">
        <v>6000</v>
      </c>
      <c r="D46" s="239">
        <v>6000</v>
      </c>
      <c r="E46" s="241">
        <f t="shared" si="0"/>
        <v>100</v>
      </c>
      <c r="F46" s="76"/>
      <c r="G46" s="76"/>
    </row>
    <row r="47" spans="1:7" s="61" customFormat="1" ht="23.25" customHeight="1" x14ac:dyDescent="0.3">
      <c r="A47" s="1474" t="s">
        <v>203</v>
      </c>
      <c r="B47" s="109">
        <v>2000</v>
      </c>
      <c r="C47" s="109">
        <v>2000</v>
      </c>
      <c r="D47" s="239">
        <v>2000</v>
      </c>
      <c r="E47" s="241">
        <f t="shared" si="0"/>
        <v>100</v>
      </c>
      <c r="F47" s="76"/>
      <c r="G47" s="76"/>
    </row>
    <row r="48" spans="1:7" s="61" customFormat="1" ht="23.25" customHeight="1" x14ac:dyDescent="0.3">
      <c r="A48" s="345" t="s">
        <v>480</v>
      </c>
      <c r="B48" s="226">
        <v>2000</v>
      </c>
      <c r="C48" s="226">
        <v>2000</v>
      </c>
      <c r="D48" s="243">
        <v>2000</v>
      </c>
      <c r="E48" s="241">
        <f t="shared" si="0"/>
        <v>100</v>
      </c>
      <c r="F48" s="76"/>
      <c r="G48" s="76"/>
    </row>
    <row r="49" spans="1:7" s="61" customFormat="1" ht="23.25" customHeight="1" x14ac:dyDescent="0.3">
      <c r="A49" s="345" t="s">
        <v>379</v>
      </c>
      <c r="B49" s="226">
        <v>4000</v>
      </c>
      <c r="C49" s="226">
        <v>4000</v>
      </c>
      <c r="D49" s="247">
        <v>4000</v>
      </c>
      <c r="E49" s="241">
        <f t="shared" si="0"/>
        <v>100</v>
      </c>
      <c r="F49" s="76"/>
      <c r="G49" s="76"/>
    </row>
    <row r="50" spans="1:7" s="61" customFormat="1" ht="23.25" customHeight="1" x14ac:dyDescent="0.3">
      <c r="A50" s="1498" t="s">
        <v>343</v>
      </c>
      <c r="B50" s="226"/>
      <c r="C50" s="226"/>
      <c r="D50" s="243"/>
      <c r="E50" s="241"/>
      <c r="F50" s="76"/>
      <c r="G50" s="76"/>
    </row>
    <row r="51" spans="1:7" s="61" customFormat="1" ht="23.25" customHeight="1" x14ac:dyDescent="0.3">
      <c r="A51" s="1499" t="s">
        <v>320</v>
      </c>
      <c r="B51" s="226">
        <v>130000</v>
      </c>
      <c r="C51" s="226">
        <v>130000</v>
      </c>
      <c r="D51" s="244">
        <v>130000</v>
      </c>
      <c r="E51" s="241">
        <f t="shared" si="0"/>
        <v>100</v>
      </c>
      <c r="F51" s="76"/>
      <c r="G51" s="76"/>
    </row>
    <row r="52" spans="1:7" s="61" customFormat="1" ht="39.75" customHeight="1" x14ac:dyDescent="0.3">
      <c r="A52" s="1500" t="s">
        <v>344</v>
      </c>
      <c r="B52" s="109"/>
      <c r="C52" s="109"/>
      <c r="D52" s="246"/>
      <c r="E52" s="241"/>
      <c r="F52" s="76"/>
      <c r="G52" s="76"/>
    </row>
    <row r="53" spans="1:7" s="61" customFormat="1" ht="23.25" customHeight="1" x14ac:dyDescent="0.3">
      <c r="A53" s="1489" t="s">
        <v>444</v>
      </c>
      <c r="B53" s="1246">
        <v>15000</v>
      </c>
      <c r="C53" s="1246">
        <v>16678</v>
      </c>
      <c r="D53" s="1272">
        <v>7077</v>
      </c>
      <c r="E53" s="1273">
        <f t="shared" si="0"/>
        <v>42.433145461086461</v>
      </c>
      <c r="F53" s="76"/>
      <c r="G53" s="76"/>
    </row>
    <row r="54" spans="1:7" s="61" customFormat="1" ht="27" customHeight="1" x14ac:dyDescent="0.3">
      <c r="A54" s="1489" t="s">
        <v>149</v>
      </c>
      <c r="B54" s="1246">
        <v>30000</v>
      </c>
      <c r="C54" s="1246">
        <v>30000</v>
      </c>
      <c r="D54" s="1272">
        <v>21395</v>
      </c>
      <c r="E54" s="1273">
        <f t="shared" si="0"/>
        <v>71.316666666666663</v>
      </c>
      <c r="F54" s="76"/>
      <c r="G54" s="76"/>
    </row>
    <row r="55" spans="1:7" s="61" customFormat="1" ht="23.25" customHeight="1" x14ac:dyDescent="0.3">
      <c r="A55" s="320" t="s">
        <v>334</v>
      </c>
      <c r="B55" s="109">
        <v>4482</v>
      </c>
      <c r="C55" s="109">
        <v>4482</v>
      </c>
      <c r="D55" s="248">
        <v>4482</v>
      </c>
      <c r="E55" s="241">
        <f t="shared" si="0"/>
        <v>100</v>
      </c>
      <c r="F55" s="76"/>
      <c r="G55" s="76"/>
    </row>
    <row r="56" spans="1:7" s="61" customFormat="1" ht="27" customHeight="1" x14ac:dyDescent="0.3">
      <c r="A56" s="1474" t="s">
        <v>211</v>
      </c>
      <c r="B56" s="109">
        <v>20000</v>
      </c>
      <c r="C56" s="109">
        <v>26624</v>
      </c>
      <c r="D56" s="125">
        <v>24066</v>
      </c>
      <c r="E56" s="241">
        <f t="shared" si="0"/>
        <v>90.39212740384616</v>
      </c>
      <c r="F56" s="76"/>
      <c r="G56" s="76"/>
    </row>
    <row r="57" spans="1:7" s="61" customFormat="1" ht="23.25" customHeight="1" x14ac:dyDescent="0.3">
      <c r="A57" s="1475" t="s">
        <v>335</v>
      </c>
      <c r="B57" s="226">
        <v>5500</v>
      </c>
      <c r="C57" s="226">
        <v>18957</v>
      </c>
      <c r="D57" s="243">
        <v>6537</v>
      </c>
      <c r="E57" s="241">
        <f t="shared" si="0"/>
        <v>34.483304320303851</v>
      </c>
      <c r="F57" s="76"/>
      <c r="G57" s="76"/>
    </row>
    <row r="58" spans="1:7" s="61" customFormat="1" ht="23.25" customHeight="1" x14ac:dyDescent="0.3">
      <c r="A58" s="1475" t="s">
        <v>380</v>
      </c>
      <c r="B58" s="226">
        <v>3300</v>
      </c>
      <c r="C58" s="226">
        <v>3300</v>
      </c>
      <c r="D58" s="243">
        <v>0</v>
      </c>
      <c r="E58" s="241">
        <f t="shared" si="0"/>
        <v>0</v>
      </c>
      <c r="F58" s="76"/>
      <c r="G58" s="76"/>
    </row>
    <row r="59" spans="1:7" s="61" customFormat="1" ht="25.5" customHeight="1" x14ac:dyDescent="0.3">
      <c r="A59" s="1501" t="s">
        <v>416</v>
      </c>
      <c r="B59" s="226"/>
      <c r="C59" s="226">
        <v>26741</v>
      </c>
      <c r="D59" s="313">
        <v>26740</v>
      </c>
      <c r="E59" s="241">
        <f t="shared" si="0"/>
        <v>99.996260424067913</v>
      </c>
      <c r="F59" s="76"/>
      <c r="G59" s="76"/>
    </row>
    <row r="60" spans="1:7" s="61" customFormat="1" ht="25.5" customHeight="1" x14ac:dyDescent="0.3">
      <c r="A60" s="1501" t="s">
        <v>592</v>
      </c>
      <c r="B60" s="226">
        <v>200000</v>
      </c>
      <c r="C60" s="226">
        <v>200000</v>
      </c>
      <c r="D60" s="313">
        <v>200000</v>
      </c>
      <c r="E60" s="241">
        <f t="shared" si="0"/>
        <v>100</v>
      </c>
      <c r="F60" s="76"/>
      <c r="G60" s="76"/>
    </row>
    <row r="61" spans="1:7" s="61" customFormat="1" ht="24.75" customHeight="1" x14ac:dyDescent="0.3">
      <c r="A61" s="1474" t="s">
        <v>454</v>
      </c>
      <c r="B61" s="226">
        <v>144000</v>
      </c>
      <c r="C61" s="226">
        <v>384000</v>
      </c>
      <c r="D61" s="313">
        <v>384000</v>
      </c>
      <c r="E61" s="241">
        <f t="shared" si="0"/>
        <v>100</v>
      </c>
      <c r="F61" s="76"/>
      <c r="G61" s="76"/>
    </row>
    <row r="62" spans="1:7" s="61" customFormat="1" ht="27" customHeight="1" x14ac:dyDescent="0.3">
      <c r="A62" s="1474" t="s">
        <v>426</v>
      </c>
      <c r="B62" s="226">
        <v>18500</v>
      </c>
      <c r="C62" s="226">
        <f>18500+1524</f>
        <v>20024</v>
      </c>
      <c r="D62" s="313">
        <v>18288</v>
      </c>
      <c r="E62" s="241">
        <f t="shared" si="0"/>
        <v>91.330403515781072</v>
      </c>
      <c r="F62" s="76"/>
      <c r="G62" s="76"/>
    </row>
    <row r="63" spans="1:7" s="61" customFormat="1" ht="23.25" customHeight="1" x14ac:dyDescent="0.3">
      <c r="A63" s="1474" t="s">
        <v>265</v>
      </c>
      <c r="B63" s="226">
        <v>50000</v>
      </c>
      <c r="C63" s="226">
        <v>80000</v>
      </c>
      <c r="D63" s="243">
        <v>80000</v>
      </c>
      <c r="E63" s="241">
        <f t="shared" ref="E63:E100" si="2">+D63/C63*100</f>
        <v>100</v>
      </c>
      <c r="F63" s="76"/>
      <c r="G63" s="76"/>
    </row>
    <row r="64" spans="1:7" s="61" customFormat="1" ht="23.25" customHeight="1" thickBot="1" x14ac:dyDescent="0.35">
      <c r="A64" s="1502" t="s">
        <v>560</v>
      </c>
      <c r="B64" s="358"/>
      <c r="C64" s="358">
        <v>118515</v>
      </c>
      <c r="D64" s="1232">
        <v>118515</v>
      </c>
      <c r="E64" s="1233">
        <f t="shared" si="2"/>
        <v>100</v>
      </c>
      <c r="F64" s="76"/>
      <c r="G64" s="76"/>
    </row>
    <row r="65" spans="1:7" s="61" customFormat="1" ht="23.25" customHeight="1" x14ac:dyDescent="0.3">
      <c r="A65" s="1503" t="s">
        <v>16</v>
      </c>
      <c r="B65" s="123"/>
      <c r="C65" s="123"/>
      <c r="D65" s="246"/>
      <c r="E65" s="241"/>
      <c r="F65" s="76"/>
      <c r="G65" s="76"/>
    </row>
    <row r="66" spans="1:7" s="61" customFormat="1" ht="30" customHeight="1" x14ac:dyDescent="0.3">
      <c r="A66" s="1504" t="s">
        <v>1321</v>
      </c>
      <c r="B66" s="1274">
        <v>8000</v>
      </c>
      <c r="C66" s="1274">
        <v>8310</v>
      </c>
      <c r="D66" s="1255">
        <v>4937</v>
      </c>
      <c r="E66" s="1275">
        <f t="shared" si="2"/>
        <v>59.410348977135982</v>
      </c>
      <c r="F66" s="76"/>
      <c r="G66" s="76"/>
    </row>
    <row r="67" spans="1:7" s="61" customFormat="1" ht="23.25" customHeight="1" x14ac:dyDescent="0.3">
      <c r="A67" s="345" t="s">
        <v>1307</v>
      </c>
      <c r="B67" s="226">
        <v>25500</v>
      </c>
      <c r="C67" s="226">
        <v>25500</v>
      </c>
      <c r="D67" s="243">
        <v>25421</v>
      </c>
      <c r="E67" s="241">
        <f t="shared" si="2"/>
        <v>99.69019607843137</v>
      </c>
      <c r="F67" s="76"/>
      <c r="G67" s="76"/>
    </row>
    <row r="68" spans="1:7" s="61" customFormat="1" ht="23.25" customHeight="1" x14ac:dyDescent="0.3">
      <c r="A68" s="1505" t="s">
        <v>121</v>
      </c>
      <c r="B68" s="226">
        <v>7000</v>
      </c>
      <c r="C68" s="226">
        <v>8006</v>
      </c>
      <c r="D68" s="243">
        <v>6118</v>
      </c>
      <c r="E68" s="241">
        <f t="shared" si="2"/>
        <v>76.417686734948788</v>
      </c>
      <c r="F68" s="76"/>
      <c r="G68" s="76"/>
    </row>
    <row r="69" spans="1:7" s="61" customFormat="1" ht="23.25" customHeight="1" x14ac:dyDescent="0.3">
      <c r="A69" s="1505" t="s">
        <v>481</v>
      </c>
      <c r="B69" s="109">
        <v>28000</v>
      </c>
      <c r="C69" s="109">
        <v>31880</v>
      </c>
      <c r="D69" s="244">
        <v>31145</v>
      </c>
      <c r="E69" s="241">
        <f t="shared" si="2"/>
        <v>97.69447929736512</v>
      </c>
      <c r="F69" s="76"/>
      <c r="G69" s="76"/>
    </row>
    <row r="70" spans="1:7" s="61" customFormat="1" ht="23.25" customHeight="1" x14ac:dyDescent="0.3">
      <c r="A70" s="1505" t="s">
        <v>77</v>
      </c>
      <c r="B70" s="109">
        <v>600</v>
      </c>
      <c r="C70" s="109">
        <v>600</v>
      </c>
      <c r="D70" s="243">
        <v>600</v>
      </c>
      <c r="E70" s="241">
        <f t="shared" si="2"/>
        <v>100</v>
      </c>
      <c r="F70" s="76"/>
      <c r="G70" s="76"/>
    </row>
    <row r="71" spans="1:7" s="61" customFormat="1" ht="23.25" customHeight="1" x14ac:dyDescent="0.3">
      <c r="A71" s="320" t="s">
        <v>122</v>
      </c>
      <c r="B71" s="109">
        <v>7500</v>
      </c>
      <c r="C71" s="109">
        <v>9215</v>
      </c>
      <c r="D71" s="125">
        <v>7269</v>
      </c>
      <c r="E71" s="203">
        <f t="shared" si="2"/>
        <v>78.882257189365163</v>
      </c>
      <c r="F71" s="76"/>
      <c r="G71" s="76"/>
    </row>
    <row r="72" spans="1:7" s="61" customFormat="1" ht="25.5" customHeight="1" x14ac:dyDescent="0.3">
      <c r="A72" s="1474" t="s">
        <v>262</v>
      </c>
      <c r="B72" s="109">
        <v>4000</v>
      </c>
      <c r="C72" s="109">
        <v>4000</v>
      </c>
      <c r="D72" s="248">
        <v>3218</v>
      </c>
      <c r="E72" s="241">
        <f t="shared" si="2"/>
        <v>80.45</v>
      </c>
      <c r="F72" s="76"/>
      <c r="G72" s="76"/>
    </row>
    <row r="73" spans="1:7" s="61" customFormat="1" ht="23.25" customHeight="1" x14ac:dyDescent="0.3">
      <c r="A73" s="320" t="s">
        <v>358</v>
      </c>
      <c r="B73" s="109">
        <v>3810</v>
      </c>
      <c r="C73" s="109">
        <v>3810</v>
      </c>
      <c r="D73" s="247">
        <v>3810</v>
      </c>
      <c r="E73" s="241">
        <f t="shared" si="2"/>
        <v>100</v>
      </c>
      <c r="F73" s="76"/>
      <c r="G73" s="76"/>
    </row>
    <row r="74" spans="1:7" s="61" customFormat="1" ht="23.25" customHeight="1" x14ac:dyDescent="0.3">
      <c r="A74" s="320" t="s">
        <v>321</v>
      </c>
      <c r="B74" s="109">
        <v>500</v>
      </c>
      <c r="C74" s="109">
        <v>500</v>
      </c>
      <c r="D74" s="244">
        <v>175</v>
      </c>
      <c r="E74" s="241">
        <f t="shared" si="2"/>
        <v>35</v>
      </c>
      <c r="F74" s="76"/>
      <c r="G74" s="76"/>
    </row>
    <row r="75" spans="1:7" s="61" customFormat="1" ht="23.25" customHeight="1" x14ac:dyDescent="0.3">
      <c r="A75" s="1449" t="s">
        <v>381</v>
      </c>
      <c r="B75" s="109">
        <v>1600</v>
      </c>
      <c r="C75" s="109">
        <v>1600</v>
      </c>
      <c r="D75" s="244"/>
      <c r="E75" s="241">
        <f t="shared" si="2"/>
        <v>0</v>
      </c>
      <c r="F75" s="76"/>
      <c r="G75" s="76"/>
    </row>
    <row r="76" spans="1:7" s="61" customFormat="1" ht="23.25" customHeight="1" x14ac:dyDescent="0.3">
      <c r="A76" s="1474" t="s">
        <v>511</v>
      </c>
      <c r="B76" s="109">
        <v>5500</v>
      </c>
      <c r="C76" s="109">
        <v>5500</v>
      </c>
      <c r="D76" s="244"/>
      <c r="E76" s="241">
        <f t="shared" si="2"/>
        <v>0</v>
      </c>
      <c r="F76" s="76"/>
      <c r="G76" s="76"/>
    </row>
    <row r="77" spans="1:7" s="61" customFormat="1" ht="23.25" customHeight="1" x14ac:dyDescent="0.3">
      <c r="A77" s="320" t="s">
        <v>512</v>
      </c>
      <c r="B77" s="109">
        <v>1500</v>
      </c>
      <c r="C77" s="109">
        <v>1500</v>
      </c>
      <c r="D77" s="244"/>
      <c r="E77" s="241">
        <f t="shared" si="2"/>
        <v>0</v>
      </c>
      <c r="F77" s="76"/>
      <c r="G77" s="76"/>
    </row>
    <row r="78" spans="1:7" s="61" customFormat="1" ht="23.25" customHeight="1" x14ac:dyDescent="0.3">
      <c r="A78" s="320" t="s">
        <v>513</v>
      </c>
      <c r="B78" s="109">
        <v>2500</v>
      </c>
      <c r="C78" s="109">
        <v>2500</v>
      </c>
      <c r="D78" s="244">
        <v>2137</v>
      </c>
      <c r="E78" s="241">
        <f t="shared" si="2"/>
        <v>85.48</v>
      </c>
      <c r="F78" s="76"/>
      <c r="G78" s="76"/>
    </row>
    <row r="79" spans="1:7" s="61" customFormat="1" ht="23.25" customHeight="1" x14ac:dyDescent="0.3">
      <c r="A79" s="1449" t="s">
        <v>514</v>
      </c>
      <c r="B79" s="109">
        <v>2500</v>
      </c>
      <c r="C79" s="109">
        <v>2500</v>
      </c>
      <c r="D79" s="244">
        <v>2137</v>
      </c>
      <c r="E79" s="241">
        <f t="shared" si="2"/>
        <v>85.48</v>
      </c>
      <c r="F79" s="76"/>
      <c r="G79" s="76"/>
    </row>
    <row r="80" spans="1:7" s="61" customFormat="1" ht="23.25" customHeight="1" x14ac:dyDescent="0.3">
      <c r="A80" s="1503" t="s">
        <v>26</v>
      </c>
      <c r="B80" s="109"/>
      <c r="C80" s="109"/>
      <c r="D80" s="244"/>
      <c r="E80" s="241"/>
      <c r="F80" s="76"/>
      <c r="G80" s="76"/>
    </row>
    <row r="81" spans="1:7" s="61" customFormat="1" ht="27.75" customHeight="1" x14ac:dyDescent="0.3">
      <c r="A81" s="320" t="s">
        <v>382</v>
      </c>
      <c r="B81" s="109">
        <v>20000</v>
      </c>
      <c r="C81" s="109">
        <v>99314</v>
      </c>
      <c r="D81" s="109">
        <v>52514</v>
      </c>
      <c r="E81" s="110">
        <f t="shared" si="2"/>
        <v>52.876734397970068</v>
      </c>
      <c r="F81" s="76"/>
      <c r="G81" s="76"/>
    </row>
    <row r="82" spans="1:7" s="61" customFormat="1" ht="23.25" customHeight="1" x14ac:dyDescent="0.3">
      <c r="A82" s="320" t="s">
        <v>449</v>
      </c>
      <c r="B82" s="109">
        <v>1500</v>
      </c>
      <c r="C82" s="109">
        <v>1975</v>
      </c>
      <c r="D82" s="109">
        <v>475</v>
      </c>
      <c r="E82" s="203">
        <f t="shared" si="2"/>
        <v>24.050632911392405</v>
      </c>
      <c r="F82" s="76"/>
      <c r="G82" s="76"/>
    </row>
    <row r="83" spans="1:7" s="61" customFormat="1" ht="23.25" customHeight="1" x14ac:dyDescent="0.3">
      <c r="A83" s="1474" t="s">
        <v>383</v>
      </c>
      <c r="B83" s="109">
        <v>1000</v>
      </c>
      <c r="C83" s="109">
        <v>1000</v>
      </c>
      <c r="D83" s="125">
        <v>1000</v>
      </c>
      <c r="E83" s="203">
        <f t="shared" si="2"/>
        <v>100</v>
      </c>
      <c r="F83" s="76"/>
      <c r="G83" s="76"/>
    </row>
    <row r="84" spans="1:7" s="61" customFormat="1" ht="56.25" customHeight="1" x14ac:dyDescent="0.3">
      <c r="A84" s="1474" t="s">
        <v>322</v>
      </c>
      <c r="B84" s="109">
        <v>4000</v>
      </c>
      <c r="C84" s="109">
        <v>4000</v>
      </c>
      <c r="D84" s="125">
        <v>4000</v>
      </c>
      <c r="E84" s="203">
        <f t="shared" si="2"/>
        <v>100</v>
      </c>
      <c r="F84" s="76"/>
      <c r="G84" s="76"/>
    </row>
    <row r="85" spans="1:7" s="61" customFormat="1" ht="30" customHeight="1" x14ac:dyDescent="0.3">
      <c r="A85" s="1503" t="s">
        <v>27</v>
      </c>
      <c r="B85" s="107"/>
      <c r="C85" s="107"/>
      <c r="D85" s="332"/>
      <c r="E85" s="241"/>
      <c r="F85" s="76"/>
      <c r="G85" s="76"/>
    </row>
    <row r="86" spans="1:7" s="61" customFormat="1" ht="24.75" customHeight="1" x14ac:dyDescent="0.3">
      <c r="A86" s="1474" t="s">
        <v>403</v>
      </c>
      <c r="B86" s="109"/>
      <c r="C86" s="109">
        <v>11969</v>
      </c>
      <c r="D86" s="421">
        <v>5988</v>
      </c>
      <c r="E86" s="319">
        <f t="shared" si="2"/>
        <v>50.029242209040014</v>
      </c>
      <c r="F86" s="76"/>
      <c r="G86" s="76"/>
    </row>
    <row r="87" spans="1:7" s="61" customFormat="1" ht="23.25" customHeight="1" thickBot="1" x14ac:dyDescent="0.35">
      <c r="A87" s="1506" t="s">
        <v>657</v>
      </c>
      <c r="B87" s="249">
        <f>SUM(B18:B86)</f>
        <v>6684570</v>
      </c>
      <c r="C87" s="249">
        <f>SUM(C18:C86)</f>
        <v>7390112</v>
      </c>
      <c r="D87" s="250">
        <f>SUM(D18:D86)</f>
        <v>7220537</v>
      </c>
      <c r="E87" s="251">
        <f t="shared" si="2"/>
        <v>97.70537983727445</v>
      </c>
      <c r="F87" s="76"/>
      <c r="G87" s="76"/>
    </row>
    <row r="88" spans="1:7" s="61" customFormat="1" ht="23.25" customHeight="1" x14ac:dyDescent="0.3">
      <c r="A88" s="1487" t="s">
        <v>87</v>
      </c>
      <c r="B88" s="122"/>
      <c r="C88" s="252"/>
      <c r="D88" s="253"/>
      <c r="E88" s="254"/>
      <c r="F88" s="76"/>
      <c r="G88" s="76"/>
    </row>
    <row r="89" spans="1:7" s="61" customFormat="1" ht="23.25" customHeight="1" x14ac:dyDescent="0.3">
      <c r="A89" s="1507" t="s">
        <v>336</v>
      </c>
      <c r="B89" s="123">
        <v>82019</v>
      </c>
      <c r="C89" s="123">
        <v>0</v>
      </c>
      <c r="D89" s="404"/>
      <c r="E89" s="241"/>
      <c r="F89" s="76"/>
      <c r="G89" s="76"/>
    </row>
    <row r="90" spans="1:7" s="61" customFormat="1" ht="37.5" customHeight="1" x14ac:dyDescent="0.3">
      <c r="A90" s="1508" t="s">
        <v>562</v>
      </c>
      <c r="B90" s="109"/>
      <c r="C90" s="123">
        <v>2000</v>
      </c>
      <c r="D90" s="247">
        <v>0</v>
      </c>
      <c r="E90" s="110">
        <f t="shared" si="2"/>
        <v>0</v>
      </c>
      <c r="F90" s="76"/>
      <c r="G90" s="76"/>
    </row>
    <row r="91" spans="1:7" s="61" customFormat="1" ht="23.25" customHeight="1" x14ac:dyDescent="0.3">
      <c r="A91" s="1475" t="s">
        <v>515</v>
      </c>
      <c r="B91" s="109">
        <v>1618</v>
      </c>
      <c r="C91" s="109">
        <v>1618</v>
      </c>
      <c r="D91" s="125">
        <v>1618</v>
      </c>
      <c r="E91" s="110">
        <f t="shared" si="2"/>
        <v>100</v>
      </c>
      <c r="F91" s="76"/>
      <c r="G91" s="76"/>
    </row>
    <row r="92" spans="1:7" s="61" customFormat="1" ht="23.25" customHeight="1" x14ac:dyDescent="0.3">
      <c r="A92" s="403" t="s">
        <v>547</v>
      </c>
      <c r="B92" s="109"/>
      <c r="C92" s="226">
        <v>22841</v>
      </c>
      <c r="D92" s="247">
        <v>744</v>
      </c>
      <c r="E92" s="110">
        <f t="shared" si="2"/>
        <v>3.2573004684558469</v>
      </c>
      <c r="F92" s="76"/>
      <c r="G92" s="76"/>
    </row>
    <row r="93" spans="1:7" s="61" customFormat="1" ht="23.25" customHeight="1" x14ac:dyDescent="0.3">
      <c r="A93" s="1505" t="s">
        <v>586</v>
      </c>
      <c r="B93" s="226"/>
      <c r="C93" s="226">
        <v>16432</v>
      </c>
      <c r="D93" s="247">
        <v>1215</v>
      </c>
      <c r="E93" s="110">
        <f t="shared" si="2"/>
        <v>7.3941090555014606</v>
      </c>
      <c r="F93" s="76"/>
      <c r="G93" s="76"/>
    </row>
    <row r="94" spans="1:7" s="61" customFormat="1" ht="23.25" customHeight="1" x14ac:dyDescent="0.3">
      <c r="A94" s="1505" t="s">
        <v>433</v>
      </c>
      <c r="B94" s="226"/>
      <c r="C94" s="226">
        <v>20828</v>
      </c>
      <c r="D94" s="247"/>
      <c r="E94" s="110">
        <f t="shared" si="2"/>
        <v>0</v>
      </c>
      <c r="F94" s="76"/>
      <c r="G94" s="76"/>
    </row>
    <row r="95" spans="1:7" s="61" customFormat="1" ht="23.25" customHeight="1" x14ac:dyDescent="0.3">
      <c r="A95" s="1505" t="s">
        <v>521</v>
      </c>
      <c r="B95" s="226"/>
      <c r="C95" s="226">
        <v>13619</v>
      </c>
      <c r="D95" s="247">
        <v>4340</v>
      </c>
      <c r="E95" s="110">
        <f t="shared" si="2"/>
        <v>31.867244291063955</v>
      </c>
      <c r="F95" s="76"/>
      <c r="G95" s="76"/>
    </row>
    <row r="96" spans="1:7" s="61" customFormat="1" ht="23.25" customHeight="1" x14ac:dyDescent="0.3">
      <c r="A96" s="1505" t="s">
        <v>568</v>
      </c>
      <c r="B96" s="226"/>
      <c r="C96" s="226">
        <v>5620</v>
      </c>
      <c r="D96" s="247">
        <v>3371</v>
      </c>
      <c r="E96" s="110">
        <f t="shared" si="2"/>
        <v>59.982206405693951</v>
      </c>
      <c r="F96" s="76"/>
      <c r="G96" s="76"/>
    </row>
    <row r="97" spans="1:13" s="61" customFormat="1" ht="23.25" customHeight="1" x14ac:dyDescent="0.3">
      <c r="A97" s="1505" t="s">
        <v>569</v>
      </c>
      <c r="B97" s="226"/>
      <c r="C97" s="226">
        <v>6355</v>
      </c>
      <c r="D97" s="247">
        <v>1353</v>
      </c>
      <c r="E97" s="257">
        <f t="shared" si="2"/>
        <v>21.29032258064516</v>
      </c>
      <c r="F97" s="76"/>
      <c r="G97" s="76"/>
    </row>
    <row r="98" spans="1:13" s="61" customFormat="1" ht="23.25" customHeight="1" thickBot="1" x14ac:dyDescent="0.35">
      <c r="A98" s="1509" t="s">
        <v>657</v>
      </c>
      <c r="B98" s="432">
        <f>SUM(B89:B97)</f>
        <v>83637</v>
      </c>
      <c r="C98" s="432">
        <f>SUM(C89:C97)</f>
        <v>89313</v>
      </c>
      <c r="D98" s="432">
        <f>SUM(D89:D97)</f>
        <v>12641</v>
      </c>
      <c r="E98" s="417">
        <f t="shared" si="2"/>
        <v>14.153594661471455</v>
      </c>
      <c r="F98" s="76"/>
      <c r="G98" s="76"/>
    </row>
    <row r="99" spans="1:13" s="61" customFormat="1" ht="23.25" customHeight="1" thickBot="1" x14ac:dyDescent="0.35">
      <c r="A99" s="1510" t="s">
        <v>264</v>
      </c>
      <c r="B99" s="120">
        <f>+B16+B87+B98</f>
        <v>8476687</v>
      </c>
      <c r="C99" s="229">
        <f>+C16+C87+C98</f>
        <v>9366196</v>
      </c>
      <c r="D99" s="255">
        <f>+D16+D87+D98</f>
        <v>9386043</v>
      </c>
      <c r="E99" s="256">
        <f t="shared" si="2"/>
        <v>100.21190032751824</v>
      </c>
      <c r="F99" s="76"/>
      <c r="G99" s="76"/>
      <c r="J99" s="76"/>
      <c r="K99" s="76"/>
      <c r="L99" s="76"/>
      <c r="M99" s="76"/>
    </row>
    <row r="100" spans="1:13" s="73" customFormat="1" ht="42" customHeight="1" thickBot="1" x14ac:dyDescent="0.35">
      <c r="A100" s="1511" t="s">
        <v>289</v>
      </c>
      <c r="B100" s="129">
        <f>+B8+B99</f>
        <v>11656288</v>
      </c>
      <c r="C100" s="230">
        <f>+C8+C99</f>
        <v>12862677</v>
      </c>
      <c r="D100" s="230">
        <f>+D8+D99</f>
        <v>12623108</v>
      </c>
      <c r="E100" s="209">
        <f t="shared" si="2"/>
        <v>98.137487243129868</v>
      </c>
      <c r="F100" s="76"/>
      <c r="G100" s="76"/>
    </row>
    <row r="101" spans="1:13" s="61" customFormat="1" ht="15" customHeight="1" x14ac:dyDescent="0.25">
      <c r="A101" s="422"/>
      <c r="C101" s="76"/>
      <c r="D101" s="76"/>
      <c r="F101" s="76"/>
      <c r="G101" s="76"/>
    </row>
    <row r="102" spans="1:13" s="61" customFormat="1" ht="36" customHeight="1" thickBot="1" x14ac:dyDescent="0.3">
      <c r="A102" s="1339" t="s">
        <v>15</v>
      </c>
      <c r="B102" s="64"/>
      <c r="C102" s="64"/>
      <c r="D102" s="64"/>
      <c r="E102" s="64"/>
      <c r="F102" s="76"/>
      <c r="G102" s="76"/>
    </row>
    <row r="103" spans="1:13" s="61" customFormat="1" ht="23.25" customHeight="1" x14ac:dyDescent="0.3">
      <c r="A103" s="1297" t="s">
        <v>28</v>
      </c>
      <c r="B103" s="1962" t="s">
        <v>496</v>
      </c>
      <c r="C103" s="1962"/>
      <c r="D103" s="113" t="s">
        <v>272</v>
      </c>
      <c r="E103" s="197" t="s">
        <v>83</v>
      </c>
      <c r="F103" s="76"/>
      <c r="G103" s="76"/>
    </row>
    <row r="104" spans="1:13" s="61" customFormat="1" ht="23.25" customHeight="1" thickBot="1" x14ac:dyDescent="0.35">
      <c r="A104" s="1303"/>
      <c r="B104" s="198" t="s">
        <v>169</v>
      </c>
      <c r="C104" s="198" t="s">
        <v>81</v>
      </c>
      <c r="D104" s="199" t="s">
        <v>82</v>
      </c>
      <c r="E104" s="119" t="s">
        <v>84</v>
      </c>
      <c r="F104" s="76"/>
      <c r="G104" s="76"/>
    </row>
    <row r="105" spans="1:13" s="73" customFormat="1" ht="23.25" customHeight="1" x14ac:dyDescent="0.3">
      <c r="A105" s="1512" t="s">
        <v>1175</v>
      </c>
      <c r="B105" s="122"/>
      <c r="C105" s="222">
        <v>13125</v>
      </c>
      <c r="D105" s="386">
        <v>8940</v>
      </c>
      <c r="E105" s="235">
        <f>+D105/C105*100</f>
        <v>68.114285714285714</v>
      </c>
      <c r="F105" s="76"/>
      <c r="G105" s="76"/>
    </row>
    <row r="106" spans="1:13" s="61" customFormat="1" ht="23.25" customHeight="1" thickBot="1" x14ac:dyDescent="0.35">
      <c r="A106" s="1513" t="s">
        <v>40</v>
      </c>
      <c r="B106" s="351">
        <v>150150</v>
      </c>
      <c r="C106" s="351">
        <v>215588</v>
      </c>
      <c r="D106" s="353">
        <v>147537</v>
      </c>
      <c r="E106" s="352">
        <f t="shared" ref="E106" si="3">+D106/C106*100</f>
        <v>68.434699519453773</v>
      </c>
      <c r="F106" s="76"/>
      <c r="G106" s="76"/>
    </row>
    <row r="107" spans="1:13" s="61" customFormat="1" ht="35.25" customHeight="1" thickBot="1" x14ac:dyDescent="0.35">
      <c r="A107" s="1457" t="s">
        <v>290</v>
      </c>
      <c r="B107" s="120">
        <f>+B105+B106</f>
        <v>150150</v>
      </c>
      <c r="C107" s="120">
        <f t="shared" ref="C107:D107" si="4">+C105+C106</f>
        <v>228713</v>
      </c>
      <c r="D107" s="229">
        <f t="shared" si="4"/>
        <v>156477</v>
      </c>
      <c r="E107" s="209">
        <f>+D107/C107*100</f>
        <v>68.416312146664154</v>
      </c>
      <c r="F107" s="76"/>
      <c r="G107" s="76"/>
    </row>
    <row r="108" spans="1:13" s="61" customFormat="1" ht="15" customHeight="1" thickBot="1" x14ac:dyDescent="0.35">
      <c r="A108" s="424"/>
      <c r="B108" s="175"/>
      <c r="C108" s="175"/>
      <c r="D108" s="212"/>
      <c r="E108" s="172"/>
      <c r="F108" s="76"/>
      <c r="G108" s="76"/>
    </row>
    <row r="109" spans="1:13" s="61" customFormat="1" ht="36.75" customHeight="1" thickBot="1" x14ac:dyDescent="0.35">
      <c r="A109" s="1457" t="s">
        <v>291</v>
      </c>
      <c r="B109" s="229">
        <f>B100+B107</f>
        <v>11806438</v>
      </c>
      <c r="C109" s="120">
        <f>C100+C107</f>
        <v>13091390</v>
      </c>
      <c r="D109" s="172">
        <f>D100+D107</f>
        <v>12779585</v>
      </c>
      <c r="E109" s="209">
        <f>+D109/C109*100</f>
        <v>97.618243746462369</v>
      </c>
      <c r="F109" s="76"/>
      <c r="G109" s="76"/>
    </row>
    <row r="111" spans="1:13" ht="15" customHeight="1" x14ac:dyDescent="0.2">
      <c r="E111" s="3"/>
    </row>
    <row r="112" spans="1:13" ht="15" customHeight="1" x14ac:dyDescent="0.2">
      <c r="E112" s="3"/>
    </row>
  </sheetData>
  <mergeCells count="4">
    <mergeCell ref="A1:B1"/>
    <mergeCell ref="B4:C4"/>
    <mergeCell ref="B103:C103"/>
    <mergeCell ref="A2:E2"/>
  </mergeCells>
  <phoneticPr fontId="0" type="noConversion"/>
  <printOptions horizontalCentered="1" verticalCentered="1"/>
  <pageMargins left="0" right="0" top="0" bottom="0" header="0.11811023622047245" footer="0.11811023622047245"/>
  <pageSetup paperSize="9" scale="52" orientation="portrait" r:id="rId1"/>
  <headerFooter alignWithMargins="0">
    <oddHeader xml:space="preserve">&amp;R&amp;"Arial,Félkövér"&amp;16
&amp;"Calibri,Félkövér"&amp;11 &amp;14 &amp;16 13. melléklet  a .../2025. (........) önkormányzati rendelethez
</oddHeader>
  </headerFooter>
  <rowBreaks count="1" manualBreakCount="1">
    <brk id="6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7"/>
  <dimension ref="A1:G30"/>
  <sheetViews>
    <sheetView topLeftCell="A4" zoomScaleNormal="100" zoomScaleSheetLayoutView="75" workbookViewId="0">
      <selection activeCell="I30" sqref="I30"/>
    </sheetView>
  </sheetViews>
  <sheetFormatPr defaultColWidth="9.33203125" defaultRowHeight="15" customHeight="1" x14ac:dyDescent="0.2"/>
  <cols>
    <col min="1" max="1" width="86.6640625" style="1" customWidth="1"/>
    <col min="2" max="2" width="21.33203125" style="1" customWidth="1"/>
    <col min="3" max="4" width="20.33203125" style="3" customWidth="1"/>
    <col min="5" max="5" width="18.83203125" style="1" customWidth="1"/>
    <col min="6" max="6" width="14.1640625" style="1" customWidth="1"/>
    <col min="7" max="7" width="11.1640625" style="1" bestFit="1" customWidth="1"/>
    <col min="8" max="16384" width="9.33203125" style="1"/>
  </cols>
  <sheetData>
    <row r="1" spans="1:7" s="61" customFormat="1" ht="15" customHeight="1" x14ac:dyDescent="0.25">
      <c r="A1" s="1961"/>
      <c r="B1" s="1961"/>
      <c r="C1" s="76"/>
      <c r="D1" s="76"/>
    </row>
    <row r="2" spans="1:7" s="61" customFormat="1" ht="30" customHeight="1" x14ac:dyDescent="0.3">
      <c r="A2" s="1890" t="s">
        <v>21</v>
      </c>
      <c r="B2" s="1890"/>
      <c r="C2" s="1890"/>
      <c r="D2" s="1890"/>
      <c r="E2" s="1890"/>
    </row>
    <row r="3" spans="1:7" s="61" customFormat="1" ht="14.25" customHeight="1" x14ac:dyDescent="0.25">
      <c r="A3" s="73" t="s">
        <v>51</v>
      </c>
      <c r="C3" s="76"/>
      <c r="D3" s="76"/>
    </row>
    <row r="4" spans="1:7" s="61" customFormat="1" ht="18.75" customHeight="1" thickBot="1" x14ac:dyDescent="0.3">
      <c r="B4" s="77"/>
      <c r="C4" s="64"/>
      <c r="D4" s="64"/>
      <c r="E4" s="90" t="s">
        <v>14</v>
      </c>
    </row>
    <row r="5" spans="1:7" s="61" customFormat="1" ht="18.95" customHeight="1" x14ac:dyDescent="0.3">
      <c r="A5" s="1434" t="s">
        <v>28</v>
      </c>
      <c r="B5" s="1962" t="s">
        <v>496</v>
      </c>
      <c r="C5" s="1962"/>
      <c r="D5" s="113" t="s">
        <v>272</v>
      </c>
      <c r="E5" s="197" t="s">
        <v>83</v>
      </c>
    </row>
    <row r="6" spans="1:7" s="61" customFormat="1" ht="18.95" customHeight="1" thickBot="1" x14ac:dyDescent="0.35">
      <c r="A6" s="79"/>
      <c r="B6" s="198" t="s">
        <v>169</v>
      </c>
      <c r="C6" s="198" t="s">
        <v>81</v>
      </c>
      <c r="D6" s="199" t="s">
        <v>82</v>
      </c>
      <c r="E6" s="200" t="s">
        <v>84</v>
      </c>
    </row>
    <row r="7" spans="1:7" s="61" customFormat="1" ht="23.25" customHeight="1" x14ac:dyDescent="0.3">
      <c r="A7" s="1449" t="s">
        <v>405</v>
      </c>
      <c r="B7" s="232">
        <v>420000</v>
      </c>
      <c r="C7" s="232">
        <v>480000</v>
      </c>
      <c r="D7" s="239">
        <v>480000</v>
      </c>
      <c r="E7" s="245">
        <f>+D7/C7*100</f>
        <v>100</v>
      </c>
      <c r="F7" s="76"/>
      <c r="G7" s="76"/>
    </row>
    <row r="8" spans="1:7" s="61" customFormat="1" ht="23.25" customHeight="1" x14ac:dyDescent="0.3">
      <c r="A8" s="1446" t="s">
        <v>46</v>
      </c>
      <c r="B8" s="1246">
        <v>18500</v>
      </c>
      <c r="C8" s="1246">
        <v>32689</v>
      </c>
      <c r="D8" s="1246">
        <v>25308</v>
      </c>
      <c r="E8" s="1245">
        <f t="shared" ref="E8:E26" si="0">+D8/C8*100</f>
        <v>77.420539019241957</v>
      </c>
      <c r="F8" s="76"/>
      <c r="G8" s="76"/>
    </row>
    <row r="9" spans="1:7" s="61" customFormat="1" ht="23.25" customHeight="1" x14ac:dyDescent="0.3">
      <c r="A9" s="320" t="s">
        <v>406</v>
      </c>
      <c r="B9" s="109">
        <v>1089</v>
      </c>
      <c r="C9" s="109">
        <v>1192</v>
      </c>
      <c r="D9" s="329">
        <v>1006</v>
      </c>
      <c r="E9" s="330">
        <f t="shared" si="0"/>
        <v>84.395973154362409</v>
      </c>
      <c r="F9" s="76"/>
      <c r="G9" s="76"/>
    </row>
    <row r="10" spans="1:7" s="61" customFormat="1" ht="38.25" customHeight="1" x14ac:dyDescent="0.3">
      <c r="A10" s="1474" t="s">
        <v>323</v>
      </c>
      <c r="B10" s="109">
        <v>8220</v>
      </c>
      <c r="C10" s="109">
        <v>8220</v>
      </c>
      <c r="D10" s="239">
        <v>8220</v>
      </c>
      <c r="E10" s="240">
        <f t="shared" si="0"/>
        <v>100</v>
      </c>
      <c r="F10" s="76"/>
      <c r="G10" s="76"/>
    </row>
    <row r="11" spans="1:7" s="61" customFormat="1" ht="23.25" customHeight="1" x14ac:dyDescent="0.3">
      <c r="A11" s="320" t="s">
        <v>384</v>
      </c>
      <c r="B11" s="109">
        <v>40000</v>
      </c>
      <c r="C11" s="109">
        <v>40000</v>
      </c>
      <c r="D11" s="329">
        <v>40000</v>
      </c>
      <c r="E11" s="330">
        <f t="shared" si="0"/>
        <v>100</v>
      </c>
      <c r="F11" s="76"/>
      <c r="G11" s="76"/>
    </row>
    <row r="12" spans="1:7" s="61" customFormat="1" ht="38.25" customHeight="1" x14ac:dyDescent="0.3">
      <c r="A12" s="1474" t="s">
        <v>324</v>
      </c>
      <c r="B12" s="109">
        <v>8268</v>
      </c>
      <c r="C12" s="109">
        <v>8268</v>
      </c>
      <c r="D12" s="239">
        <v>8268</v>
      </c>
      <c r="E12" s="240">
        <f t="shared" si="0"/>
        <v>100</v>
      </c>
      <c r="F12" s="76"/>
      <c r="G12" s="76"/>
    </row>
    <row r="13" spans="1:7" s="61" customFormat="1" ht="23.25" customHeight="1" x14ac:dyDescent="0.3">
      <c r="A13" s="320" t="s">
        <v>482</v>
      </c>
      <c r="B13" s="109">
        <v>40000</v>
      </c>
      <c r="C13" s="109">
        <v>15000</v>
      </c>
      <c r="D13" s="329">
        <v>15000</v>
      </c>
      <c r="E13" s="330">
        <f t="shared" si="0"/>
        <v>100</v>
      </c>
      <c r="F13" s="76"/>
      <c r="G13" s="76"/>
    </row>
    <row r="14" spans="1:7" s="61" customFormat="1" ht="23.25" customHeight="1" x14ac:dyDescent="0.3">
      <c r="A14" s="320" t="s">
        <v>333</v>
      </c>
      <c r="B14" s="109">
        <v>90000</v>
      </c>
      <c r="C14" s="109">
        <v>92637</v>
      </c>
      <c r="D14" s="329">
        <v>92637</v>
      </c>
      <c r="E14" s="330">
        <f t="shared" si="0"/>
        <v>100</v>
      </c>
      <c r="F14" s="76"/>
      <c r="G14" s="76"/>
    </row>
    <row r="15" spans="1:7" s="61" customFormat="1" ht="23.25" customHeight="1" x14ac:dyDescent="0.3">
      <c r="A15" s="320" t="s">
        <v>404</v>
      </c>
      <c r="B15" s="109">
        <v>6000</v>
      </c>
      <c r="C15" s="109">
        <v>6000</v>
      </c>
      <c r="D15" s="329">
        <v>6000</v>
      </c>
      <c r="E15" s="330">
        <f t="shared" si="0"/>
        <v>100</v>
      </c>
      <c r="F15" s="76"/>
      <c r="G15" s="76"/>
    </row>
    <row r="16" spans="1:7" s="61" customFormat="1" ht="38.25" customHeight="1" x14ac:dyDescent="0.3">
      <c r="A16" s="1474" t="s">
        <v>483</v>
      </c>
      <c r="B16" s="109">
        <v>11500</v>
      </c>
      <c r="C16" s="109">
        <v>18000</v>
      </c>
      <c r="D16" s="239">
        <v>18000</v>
      </c>
      <c r="E16" s="240">
        <f t="shared" si="0"/>
        <v>100</v>
      </c>
      <c r="F16" s="76"/>
      <c r="G16" s="76"/>
    </row>
    <row r="17" spans="1:7" s="61" customFormat="1" ht="23.25" customHeight="1" x14ac:dyDescent="0.3">
      <c r="A17" s="320" t="s">
        <v>367</v>
      </c>
      <c r="B17" s="109">
        <v>330000</v>
      </c>
      <c r="C17" s="109">
        <v>347000</v>
      </c>
      <c r="D17" s="329">
        <v>330000</v>
      </c>
      <c r="E17" s="330">
        <f t="shared" si="0"/>
        <v>95.100864553314125</v>
      </c>
      <c r="F17" s="76"/>
      <c r="G17" s="76"/>
    </row>
    <row r="18" spans="1:7" s="61" customFormat="1" ht="23.25" customHeight="1" x14ac:dyDescent="0.3">
      <c r="A18" s="320" t="s">
        <v>385</v>
      </c>
      <c r="B18" s="109">
        <v>10000</v>
      </c>
      <c r="C18" s="109">
        <v>10000</v>
      </c>
      <c r="D18" s="329">
        <v>10000</v>
      </c>
      <c r="E18" s="330">
        <f t="shared" si="0"/>
        <v>100</v>
      </c>
      <c r="F18" s="76"/>
      <c r="G18" s="76"/>
    </row>
    <row r="19" spans="1:7" s="61" customFormat="1" ht="38.25" customHeight="1" x14ac:dyDescent="0.3">
      <c r="A19" s="1474" t="s">
        <v>362</v>
      </c>
      <c r="B19" s="109">
        <v>1400</v>
      </c>
      <c r="C19" s="109">
        <v>756</v>
      </c>
      <c r="D19" s="239">
        <v>756</v>
      </c>
      <c r="E19" s="240">
        <f t="shared" si="0"/>
        <v>100</v>
      </c>
      <c r="F19" s="76"/>
      <c r="G19" s="76"/>
    </row>
    <row r="20" spans="1:7" s="61" customFormat="1" ht="23.25" customHeight="1" x14ac:dyDescent="0.3">
      <c r="A20" s="320" t="s">
        <v>407</v>
      </c>
      <c r="B20" s="109">
        <v>5000</v>
      </c>
      <c r="C20" s="109">
        <v>5000</v>
      </c>
      <c r="D20" s="329">
        <v>5000</v>
      </c>
      <c r="E20" s="330">
        <f t="shared" si="0"/>
        <v>100</v>
      </c>
      <c r="F20" s="76"/>
      <c r="G20" s="76"/>
    </row>
    <row r="21" spans="1:7" s="61" customFormat="1" ht="23.25" customHeight="1" x14ac:dyDescent="0.3">
      <c r="A21" s="320" t="s">
        <v>427</v>
      </c>
      <c r="B21" s="109">
        <v>1000</v>
      </c>
      <c r="C21" s="109">
        <v>1000</v>
      </c>
      <c r="D21" s="329">
        <v>1000</v>
      </c>
      <c r="E21" s="330">
        <f t="shared" si="0"/>
        <v>100</v>
      </c>
      <c r="F21" s="76"/>
      <c r="G21" s="76"/>
    </row>
    <row r="22" spans="1:7" s="61" customFormat="1" ht="23.25" customHeight="1" x14ac:dyDescent="0.3">
      <c r="A22" s="320" t="s">
        <v>516</v>
      </c>
      <c r="B22" s="109">
        <v>5000</v>
      </c>
      <c r="C22" s="109">
        <v>5900</v>
      </c>
      <c r="D22" s="329">
        <v>5900</v>
      </c>
      <c r="E22" s="330">
        <f t="shared" si="0"/>
        <v>100</v>
      </c>
      <c r="F22" s="76"/>
      <c r="G22" s="76"/>
    </row>
    <row r="23" spans="1:7" s="61" customFormat="1" ht="23.25" customHeight="1" x14ac:dyDescent="0.3">
      <c r="A23" s="320" t="s">
        <v>561</v>
      </c>
      <c r="B23" s="109"/>
      <c r="C23" s="109">
        <v>30000</v>
      </c>
      <c r="D23" s="329">
        <v>30000</v>
      </c>
      <c r="E23" s="330">
        <f t="shared" si="0"/>
        <v>100</v>
      </c>
      <c r="F23" s="76"/>
      <c r="G23" s="76"/>
    </row>
    <row r="24" spans="1:7" s="61" customFormat="1" ht="23.25" customHeight="1" x14ac:dyDescent="0.3">
      <c r="A24" s="320" t="s">
        <v>572</v>
      </c>
      <c r="B24" s="109"/>
      <c r="C24" s="109">
        <v>12000</v>
      </c>
      <c r="D24" s="329">
        <v>12000</v>
      </c>
      <c r="E24" s="330">
        <f t="shared" si="0"/>
        <v>100</v>
      </c>
      <c r="F24" s="76"/>
      <c r="G24" s="76"/>
    </row>
    <row r="25" spans="1:7" s="61" customFormat="1" ht="23.25" customHeight="1" x14ac:dyDescent="0.3">
      <c r="A25" s="320" t="s">
        <v>587</v>
      </c>
      <c r="B25" s="109"/>
      <c r="C25" s="109">
        <v>8000</v>
      </c>
      <c r="D25" s="329"/>
      <c r="E25" s="330">
        <f t="shared" si="0"/>
        <v>0</v>
      </c>
      <c r="F25" s="76"/>
      <c r="G25" s="76"/>
    </row>
    <row r="26" spans="1:7" s="61" customFormat="1" ht="23.25" customHeight="1" thickBot="1" x14ac:dyDescent="0.35">
      <c r="A26" s="320" t="s">
        <v>525</v>
      </c>
      <c r="B26" s="109"/>
      <c r="C26" s="109">
        <v>2000</v>
      </c>
      <c r="D26" s="329">
        <v>2000</v>
      </c>
      <c r="E26" s="330">
        <f t="shared" si="0"/>
        <v>100</v>
      </c>
      <c r="F26" s="76"/>
      <c r="G26" s="76"/>
    </row>
    <row r="27" spans="1:7" s="61" customFormat="1" ht="18.95" customHeight="1" thickBot="1" x14ac:dyDescent="0.35">
      <c r="A27" s="1382" t="s">
        <v>484</v>
      </c>
      <c r="B27" s="229">
        <f>SUM(B7:B22)</f>
        <v>995977</v>
      </c>
      <c r="C27" s="229">
        <f>SUM(C7:C26)</f>
        <v>1123662</v>
      </c>
      <c r="D27" s="229">
        <f>SUM(D7:D26)</f>
        <v>1091095</v>
      </c>
      <c r="E27" s="209">
        <f>+D27/C27*100</f>
        <v>97.10170852088973</v>
      </c>
      <c r="F27" s="76"/>
      <c r="G27" s="76"/>
    </row>
    <row r="28" spans="1:7" ht="20.100000000000001" customHeight="1" x14ac:dyDescent="0.2"/>
    <row r="29" spans="1:7" ht="15" customHeight="1" x14ac:dyDescent="0.25">
      <c r="B29" s="3"/>
      <c r="C29" s="76"/>
      <c r="D29" s="76"/>
      <c r="E29" s="61"/>
    </row>
    <row r="30" spans="1:7" ht="15" customHeight="1" x14ac:dyDescent="0.25">
      <c r="C30" s="76"/>
      <c r="D30" s="76"/>
      <c r="E30" s="61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>
    <oddHeader xml:space="preserve">&amp;C
&amp;R&amp;"Arial CE,Normál"&amp;14 &amp;"Calibri,Félkövér"&amp;11 14. melléklet a .../2025. (........) önkormányzati rendelethez&amp;"Arial CE,Normál"&amp;12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/>
  <dimension ref="A1:L52"/>
  <sheetViews>
    <sheetView topLeftCell="A19" zoomScaleNormal="100" workbookViewId="0">
      <selection activeCell="I30" sqref="I30"/>
    </sheetView>
  </sheetViews>
  <sheetFormatPr defaultColWidth="9.33203125" defaultRowHeight="15" customHeight="1" x14ac:dyDescent="0.2"/>
  <cols>
    <col min="1" max="1" width="5.33203125" style="1" customWidth="1"/>
    <col min="2" max="2" width="9.33203125" style="1"/>
    <col min="3" max="3" width="15.83203125" style="1" customWidth="1"/>
    <col min="4" max="4" width="26.1640625" style="1" customWidth="1"/>
    <col min="5" max="5" width="52.1640625" style="1" customWidth="1"/>
    <col min="6" max="6" width="21.33203125" style="1" customWidth="1"/>
    <col min="7" max="7" width="20.6640625" style="1" customWidth="1"/>
    <col min="8" max="8" width="20.1640625" style="1" customWidth="1"/>
    <col min="9" max="9" width="20.33203125" style="1" customWidth="1"/>
    <col min="10" max="10" width="18.33203125" style="1" customWidth="1"/>
    <col min="11" max="11" width="9.33203125" style="1"/>
    <col min="12" max="12" width="18.83203125" style="1" customWidth="1"/>
    <col min="13" max="16384" width="9.33203125" style="1"/>
  </cols>
  <sheetData>
    <row r="1" spans="1:12" s="61" customFormat="1" ht="15" customHeight="1" x14ac:dyDescent="0.25">
      <c r="A1" s="1961"/>
      <c r="B1" s="1961"/>
      <c r="C1" s="1961"/>
      <c r="D1" s="1961"/>
      <c r="E1" s="1961"/>
      <c r="F1" s="1961"/>
      <c r="I1" s="416"/>
    </row>
    <row r="2" spans="1:12" s="61" customFormat="1" ht="23.25" customHeight="1" x14ac:dyDescent="0.3">
      <c r="A2" s="1890" t="s">
        <v>75</v>
      </c>
      <c r="B2" s="1890"/>
      <c r="C2" s="1890"/>
      <c r="D2" s="1890"/>
      <c r="E2" s="1890"/>
      <c r="F2" s="1890"/>
      <c r="G2" s="1890"/>
      <c r="H2" s="1890"/>
      <c r="I2" s="1890"/>
    </row>
    <row r="3" spans="1:12" s="61" customFormat="1" ht="15" customHeight="1" x14ac:dyDescent="0.25"/>
    <row r="4" spans="1:12" s="61" customFormat="1" ht="15" customHeight="1" thickBot="1" x14ac:dyDescent="0.3">
      <c r="A4" s="62"/>
      <c r="B4" s="62"/>
      <c r="C4" s="62"/>
      <c r="D4" s="62"/>
      <c r="F4" s="77"/>
      <c r="G4" s="77"/>
      <c r="H4" s="77"/>
      <c r="I4" s="77" t="s">
        <v>14</v>
      </c>
      <c r="J4" s="76"/>
    </row>
    <row r="5" spans="1:12" s="61" customFormat="1" ht="24" customHeight="1" x14ac:dyDescent="0.3">
      <c r="A5" s="1975" t="s">
        <v>28</v>
      </c>
      <c r="B5" s="1976"/>
      <c r="C5" s="1976"/>
      <c r="D5" s="1976"/>
      <c r="E5" s="1976"/>
      <c r="F5" s="1962" t="s">
        <v>496</v>
      </c>
      <c r="G5" s="1962"/>
      <c r="H5" s="113" t="s">
        <v>272</v>
      </c>
      <c r="I5" s="227" t="s">
        <v>83</v>
      </c>
    </row>
    <row r="6" spans="1:12" s="61" customFormat="1" ht="43.5" customHeight="1" thickBot="1" x14ac:dyDescent="0.35">
      <c r="A6" s="82"/>
      <c r="B6" s="93"/>
      <c r="C6" s="93"/>
      <c r="D6" s="93"/>
      <c r="E6" s="93"/>
      <c r="F6" s="198" t="s">
        <v>169</v>
      </c>
      <c r="G6" s="198" t="s">
        <v>81</v>
      </c>
      <c r="H6" s="199" t="s">
        <v>82</v>
      </c>
      <c r="I6" s="200" t="s">
        <v>84</v>
      </c>
    </row>
    <row r="7" spans="1:12" s="61" customFormat="1" ht="24" customHeight="1" x14ac:dyDescent="0.3">
      <c r="A7" s="1488" t="s">
        <v>485</v>
      </c>
      <c r="B7" s="1514"/>
      <c r="C7" s="1514"/>
      <c r="D7" s="1514"/>
      <c r="E7" s="1515"/>
      <c r="F7" s="1276">
        <v>330000</v>
      </c>
      <c r="G7" s="1276">
        <v>439163</v>
      </c>
      <c r="H7" s="1250">
        <v>364292</v>
      </c>
      <c r="I7" s="1251">
        <f>H7/G7*100</f>
        <v>82.951432611581581</v>
      </c>
      <c r="J7" s="76"/>
      <c r="L7" s="76"/>
    </row>
    <row r="8" spans="1:12" s="61" customFormat="1" ht="24" customHeight="1" x14ac:dyDescent="0.3">
      <c r="A8" s="1446" t="s">
        <v>486</v>
      </c>
      <c r="B8" s="1516"/>
      <c r="C8" s="1516"/>
      <c r="D8" s="1516"/>
      <c r="E8" s="1517"/>
      <c r="F8" s="1277">
        <v>550000</v>
      </c>
      <c r="G8" s="1277">
        <v>595312</v>
      </c>
      <c r="H8" s="1243">
        <v>514296</v>
      </c>
      <c r="I8" s="1253">
        <f t="shared" ref="I8:I29" si="0">H8/G8*100</f>
        <v>86.391001693229768</v>
      </c>
      <c r="J8" s="76"/>
      <c r="L8" s="76"/>
    </row>
    <row r="9" spans="1:12" s="61" customFormat="1" ht="24" customHeight="1" x14ac:dyDescent="0.3">
      <c r="A9" s="1446" t="s">
        <v>266</v>
      </c>
      <c r="B9" s="1516"/>
      <c r="C9" s="1516"/>
      <c r="D9" s="1516"/>
      <c r="E9" s="1517"/>
      <c r="F9" s="1274"/>
      <c r="G9" s="1274">
        <v>3933</v>
      </c>
      <c r="H9" s="1255"/>
      <c r="I9" s="1275">
        <f t="shared" si="0"/>
        <v>0</v>
      </c>
      <c r="J9" s="76"/>
      <c r="L9" s="76"/>
    </row>
    <row r="10" spans="1:12" s="61" customFormat="1" ht="24" customHeight="1" x14ac:dyDescent="0.3">
      <c r="A10" s="1446" t="s">
        <v>245</v>
      </c>
      <c r="B10" s="1516"/>
      <c r="C10" s="1516"/>
      <c r="D10" s="1516"/>
      <c r="E10" s="1517"/>
      <c r="F10" s="1274">
        <v>7000</v>
      </c>
      <c r="G10" s="1274">
        <v>4900</v>
      </c>
      <c r="H10" s="1255">
        <v>1915</v>
      </c>
      <c r="I10" s="1275">
        <f t="shared" si="0"/>
        <v>39.081632653061227</v>
      </c>
      <c r="J10" s="76"/>
      <c r="L10" s="76"/>
    </row>
    <row r="11" spans="1:12" s="61" customFormat="1" ht="24" customHeight="1" x14ac:dyDescent="0.3">
      <c r="A11" s="1446" t="s">
        <v>337</v>
      </c>
      <c r="B11" s="1516"/>
      <c r="C11" s="1516"/>
      <c r="D11" s="1516"/>
      <c r="E11" s="1517"/>
      <c r="F11" s="1274">
        <v>780000</v>
      </c>
      <c r="G11" s="1274">
        <v>839899</v>
      </c>
      <c r="H11" s="1255">
        <v>797994</v>
      </c>
      <c r="I11" s="1275">
        <f t="shared" si="0"/>
        <v>95.010709621037776</v>
      </c>
      <c r="J11" s="76"/>
      <c r="L11" s="76"/>
    </row>
    <row r="12" spans="1:12" s="61" customFormat="1" ht="24" customHeight="1" x14ac:dyDescent="0.3">
      <c r="A12" s="317" t="s">
        <v>474</v>
      </c>
      <c r="B12" s="1518"/>
      <c r="C12" s="1518"/>
      <c r="D12" s="1518"/>
      <c r="E12" s="1519"/>
      <c r="F12" s="322">
        <v>50000</v>
      </c>
      <c r="G12" s="322">
        <v>23607</v>
      </c>
      <c r="H12" s="323">
        <v>22904</v>
      </c>
      <c r="I12" s="326">
        <f t="shared" si="0"/>
        <v>97.022069725081536</v>
      </c>
      <c r="J12" s="76"/>
      <c r="L12" s="76"/>
    </row>
    <row r="13" spans="1:12" s="61" customFormat="1" ht="24" customHeight="1" x14ac:dyDescent="0.3">
      <c r="A13" s="1446" t="s">
        <v>487</v>
      </c>
      <c r="B13" s="1516"/>
      <c r="C13" s="1516"/>
      <c r="D13" s="1516"/>
      <c r="E13" s="1517"/>
      <c r="F13" s="1274">
        <v>1200</v>
      </c>
      <c r="G13" s="1274">
        <v>1254</v>
      </c>
      <c r="H13" s="1255">
        <v>1237</v>
      </c>
      <c r="I13" s="1275">
        <f t="shared" si="0"/>
        <v>98.644338118022318</v>
      </c>
      <c r="J13" s="76"/>
      <c r="L13" s="76"/>
    </row>
    <row r="14" spans="1:12" s="61" customFormat="1" ht="24" customHeight="1" x14ac:dyDescent="0.3">
      <c r="A14" s="1446" t="s">
        <v>119</v>
      </c>
      <c r="B14" s="1516"/>
      <c r="C14" s="1516"/>
      <c r="D14" s="1516"/>
      <c r="E14" s="1517"/>
      <c r="F14" s="1274">
        <v>2600</v>
      </c>
      <c r="G14" s="1274">
        <v>4536</v>
      </c>
      <c r="H14" s="1255"/>
      <c r="I14" s="1275">
        <f t="shared" si="0"/>
        <v>0</v>
      </c>
      <c r="J14" s="76"/>
      <c r="L14" s="76"/>
    </row>
    <row r="15" spans="1:12" s="61" customFormat="1" ht="24" customHeight="1" x14ac:dyDescent="0.3">
      <c r="A15" s="1446" t="s">
        <v>80</v>
      </c>
      <c r="B15" s="1516"/>
      <c r="C15" s="1516"/>
      <c r="D15" s="1516"/>
      <c r="E15" s="1517"/>
      <c r="F15" s="1274">
        <v>3000</v>
      </c>
      <c r="G15" s="1274">
        <v>5549</v>
      </c>
      <c r="H15" s="1255">
        <v>2689</v>
      </c>
      <c r="I15" s="1275">
        <f t="shared" si="0"/>
        <v>48.459181834564788</v>
      </c>
      <c r="J15" s="76"/>
      <c r="L15" s="76"/>
    </row>
    <row r="16" spans="1:12" s="61" customFormat="1" ht="24" customHeight="1" x14ac:dyDescent="0.3">
      <c r="A16" s="1446" t="s">
        <v>254</v>
      </c>
      <c r="B16" s="1516"/>
      <c r="C16" s="1516"/>
      <c r="D16" s="1516"/>
      <c r="E16" s="1517"/>
      <c r="F16" s="1274">
        <v>6500</v>
      </c>
      <c r="G16" s="1274">
        <v>6896</v>
      </c>
      <c r="H16" s="1255">
        <v>5563</v>
      </c>
      <c r="I16" s="1275">
        <f t="shared" si="0"/>
        <v>80.669953596287698</v>
      </c>
      <c r="J16" s="76"/>
      <c r="L16" s="76"/>
    </row>
    <row r="17" spans="1:12" s="61" customFormat="1" ht="24" customHeight="1" x14ac:dyDescent="0.3">
      <c r="A17" s="1446" t="s">
        <v>166</v>
      </c>
      <c r="B17" s="1516"/>
      <c r="C17" s="1516"/>
      <c r="D17" s="1516"/>
      <c r="E17" s="1517"/>
      <c r="F17" s="1278">
        <v>4000</v>
      </c>
      <c r="G17" s="1278">
        <v>17400</v>
      </c>
      <c r="H17" s="1246">
        <v>13084</v>
      </c>
      <c r="I17" s="1275">
        <f t="shared" si="0"/>
        <v>75.195402298850581</v>
      </c>
      <c r="J17" s="76"/>
      <c r="L17" s="76"/>
    </row>
    <row r="18" spans="1:12" s="61" customFormat="1" ht="24" customHeight="1" x14ac:dyDescent="0.3">
      <c r="A18" s="1520" t="s">
        <v>56</v>
      </c>
      <c r="B18" s="1521"/>
      <c r="C18" s="1521"/>
      <c r="D18" s="1521"/>
      <c r="E18" s="1522"/>
      <c r="F18" s="1274">
        <v>60000</v>
      </c>
      <c r="G18" s="1274">
        <v>77540</v>
      </c>
      <c r="H18" s="1279">
        <v>69202</v>
      </c>
      <c r="I18" s="1275">
        <f t="shared" si="0"/>
        <v>89.246840340469433</v>
      </c>
      <c r="J18" s="76"/>
      <c r="L18" s="76"/>
    </row>
    <row r="19" spans="1:12" s="61" customFormat="1" ht="24" customHeight="1" x14ac:dyDescent="0.3">
      <c r="A19" s="1520" t="s">
        <v>517</v>
      </c>
      <c r="B19" s="1521"/>
      <c r="C19" s="1521"/>
      <c r="D19" s="1521"/>
      <c r="E19" s="1522"/>
      <c r="F19" s="1274">
        <v>10000</v>
      </c>
      <c r="G19" s="1274">
        <v>20000</v>
      </c>
      <c r="H19" s="1279">
        <v>20000</v>
      </c>
      <c r="I19" s="1275">
        <f t="shared" si="0"/>
        <v>100</v>
      </c>
      <c r="J19" s="76"/>
      <c r="L19" s="76"/>
    </row>
    <row r="20" spans="1:12" s="61" customFormat="1" ht="24" customHeight="1" thickBot="1" x14ac:dyDescent="0.35">
      <c r="A20" s="320" t="s">
        <v>551</v>
      </c>
      <c r="B20" s="1523"/>
      <c r="C20" s="1523"/>
      <c r="D20" s="1523"/>
      <c r="E20" s="1524"/>
      <c r="F20" s="322"/>
      <c r="G20" s="322">
        <v>28632</v>
      </c>
      <c r="H20" s="312">
        <v>28632</v>
      </c>
      <c r="I20" s="326">
        <f t="shared" si="0"/>
        <v>100</v>
      </c>
      <c r="J20" s="76"/>
      <c r="L20" s="76"/>
    </row>
    <row r="21" spans="1:12" s="61" customFormat="1" ht="24" customHeight="1" thickBot="1" x14ac:dyDescent="0.35">
      <c r="A21" s="1972" t="s">
        <v>91</v>
      </c>
      <c r="B21" s="1973"/>
      <c r="C21" s="1973"/>
      <c r="D21" s="1973"/>
      <c r="E21" s="1974"/>
      <c r="F21" s="229">
        <f>SUM(F7:F20)</f>
        <v>1804300</v>
      </c>
      <c r="G21" s="229">
        <f>SUM(G7:G20)</f>
        <v>2068621</v>
      </c>
      <c r="H21" s="229">
        <f>SUM(H7:H20)</f>
        <v>1841808</v>
      </c>
      <c r="I21" s="209">
        <f t="shared" si="0"/>
        <v>89.035545902318503</v>
      </c>
      <c r="J21" s="76"/>
      <c r="L21" s="76"/>
    </row>
    <row r="22" spans="1:12" s="61" customFormat="1" ht="24" customHeight="1" x14ac:dyDescent="0.3">
      <c r="A22" s="1485" t="s">
        <v>90</v>
      </c>
      <c r="B22" s="1525"/>
      <c r="C22" s="1525"/>
      <c r="D22" s="1525"/>
      <c r="E22" s="1525"/>
      <c r="F22" s="258">
        <v>1000</v>
      </c>
      <c r="G22" s="258">
        <v>820</v>
      </c>
      <c r="H22" s="258">
        <v>360</v>
      </c>
      <c r="I22" s="108">
        <f t="shared" si="0"/>
        <v>43.902439024390247</v>
      </c>
      <c r="J22" s="76"/>
      <c r="L22" s="76"/>
    </row>
    <row r="23" spans="1:12" s="61" customFormat="1" ht="24" customHeight="1" x14ac:dyDescent="0.3">
      <c r="A23" s="1449" t="s">
        <v>398</v>
      </c>
      <c r="B23" s="1341"/>
      <c r="C23" s="1341"/>
      <c r="D23" s="1341"/>
      <c r="E23" s="1341"/>
      <c r="F23" s="259">
        <v>1000</v>
      </c>
      <c r="G23" s="259">
        <v>1000</v>
      </c>
      <c r="H23" s="259"/>
      <c r="I23" s="110">
        <f t="shared" si="0"/>
        <v>0</v>
      </c>
      <c r="J23" s="76"/>
      <c r="L23" s="76"/>
    </row>
    <row r="24" spans="1:12" s="61" customFormat="1" ht="24" customHeight="1" x14ac:dyDescent="0.3">
      <c r="A24" s="320" t="s">
        <v>399</v>
      </c>
      <c r="B24" s="1342"/>
      <c r="C24" s="1342"/>
      <c r="D24" s="1342"/>
      <c r="E24" s="1342"/>
      <c r="F24" s="260">
        <v>5000</v>
      </c>
      <c r="G24" s="260">
        <v>5000</v>
      </c>
      <c r="H24" s="260">
        <v>2497</v>
      </c>
      <c r="I24" s="110">
        <f t="shared" si="0"/>
        <v>49.94</v>
      </c>
      <c r="J24" s="76"/>
      <c r="L24" s="76"/>
    </row>
    <row r="25" spans="1:12" s="61" customFormat="1" ht="24" customHeight="1" x14ac:dyDescent="0.3">
      <c r="A25" s="423" t="s">
        <v>190</v>
      </c>
      <c r="B25" s="422"/>
      <c r="C25" s="422"/>
      <c r="D25" s="422"/>
      <c r="E25" s="422"/>
      <c r="F25" s="261">
        <v>1900</v>
      </c>
      <c r="G25" s="261">
        <v>5450</v>
      </c>
      <c r="H25" s="261">
        <v>2553</v>
      </c>
      <c r="I25" s="257">
        <f t="shared" si="0"/>
        <v>46.844036697247702</v>
      </c>
      <c r="J25" s="76"/>
      <c r="L25" s="76"/>
    </row>
    <row r="26" spans="1:12" s="61" customFormat="1" ht="24" customHeight="1" x14ac:dyDescent="0.3">
      <c r="A26" s="320" t="s">
        <v>552</v>
      </c>
      <c r="B26" s="1342"/>
      <c r="C26" s="1342"/>
      <c r="D26" s="1342"/>
      <c r="E26" s="1342"/>
      <c r="F26" s="260"/>
      <c r="G26" s="260">
        <v>23860</v>
      </c>
      <c r="H26" s="260"/>
      <c r="I26" s="110">
        <f t="shared" si="0"/>
        <v>0</v>
      </c>
      <c r="J26" s="76"/>
      <c r="L26" s="76"/>
    </row>
    <row r="27" spans="1:12" s="61" customFormat="1" ht="24" customHeight="1" x14ac:dyDescent="0.3">
      <c r="A27" s="320" t="s">
        <v>553</v>
      </c>
      <c r="B27" s="422"/>
      <c r="C27" s="422"/>
      <c r="D27" s="422"/>
      <c r="E27" s="422"/>
      <c r="F27" s="261"/>
      <c r="G27" s="261">
        <v>3500</v>
      </c>
      <c r="H27" s="261"/>
      <c r="I27" s="233">
        <f t="shared" si="0"/>
        <v>0</v>
      </c>
      <c r="J27" s="76"/>
      <c r="L27" s="76"/>
    </row>
    <row r="28" spans="1:12" s="61" customFormat="1" ht="24" customHeight="1" thickBot="1" x14ac:dyDescent="0.35">
      <c r="A28" s="1526" t="s">
        <v>524</v>
      </c>
      <c r="B28" s="1527"/>
      <c r="C28" s="1527"/>
      <c r="D28" s="1527"/>
      <c r="E28" s="1527"/>
      <c r="F28" s="347"/>
      <c r="G28" s="347">
        <v>2159</v>
      </c>
      <c r="H28" s="347">
        <v>2159</v>
      </c>
      <c r="I28" s="325">
        <f t="shared" si="0"/>
        <v>100</v>
      </c>
      <c r="J28" s="76"/>
      <c r="L28" s="76"/>
    </row>
    <row r="29" spans="1:12" s="61" customFormat="1" ht="40.5" customHeight="1" thickBot="1" x14ac:dyDescent="0.35">
      <c r="A29" s="1969" t="s">
        <v>293</v>
      </c>
      <c r="B29" s="1970"/>
      <c r="C29" s="1970"/>
      <c r="D29" s="1970"/>
      <c r="E29" s="1971"/>
      <c r="F29" s="120">
        <f>+F21+F22+F25+F23+F24+F28</f>
        <v>1813200</v>
      </c>
      <c r="G29" s="120">
        <f>+G21+G22+G25+G23+G24+G28+G26+G27</f>
        <v>2110410</v>
      </c>
      <c r="H29" s="120">
        <f>+H21+H22+H25+H23+H24+H28+H26+H27</f>
        <v>1849377</v>
      </c>
      <c r="I29" s="209">
        <f t="shared" si="0"/>
        <v>87.631171194222929</v>
      </c>
      <c r="J29" s="76"/>
      <c r="L29" s="76"/>
    </row>
    <row r="30" spans="1:12" ht="15" customHeight="1" x14ac:dyDescent="0.2">
      <c r="L30" s="3"/>
    </row>
    <row r="31" spans="1:12" ht="15" customHeight="1" x14ac:dyDescent="0.2">
      <c r="G31" s="3"/>
      <c r="H31" s="3"/>
      <c r="L31" s="3"/>
    </row>
    <row r="32" spans="1:12" ht="15" customHeight="1" x14ac:dyDescent="0.2">
      <c r="G32" s="3"/>
      <c r="H32" s="3"/>
    </row>
    <row r="33" spans="8:8" ht="15" customHeight="1" x14ac:dyDescent="0.2">
      <c r="H33" s="3"/>
    </row>
    <row r="34" spans="8:8" ht="15" customHeight="1" x14ac:dyDescent="0.2">
      <c r="H34" s="3"/>
    </row>
    <row r="35" spans="8:8" ht="15" customHeight="1" x14ac:dyDescent="0.2">
      <c r="H35" s="3"/>
    </row>
    <row r="51" spans="6:6" ht="15" customHeight="1" x14ac:dyDescent="0.2">
      <c r="F51" s="15"/>
    </row>
    <row r="52" spans="6:6" ht="15" customHeight="1" x14ac:dyDescent="0.2">
      <c r="F52" s="15"/>
    </row>
  </sheetData>
  <mergeCells count="6">
    <mergeCell ref="A29:E29"/>
    <mergeCell ref="A21:E21"/>
    <mergeCell ref="A1:F1"/>
    <mergeCell ref="A5:E5"/>
    <mergeCell ref="F5:G5"/>
    <mergeCell ref="A2:I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>&amp;L
&amp;R&amp;"Calibri,Félkövér"&amp;11 &amp;12 15. melléklet a .../2025. (........) önkormányzati rendelethez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/>
  <dimension ref="A1:I151"/>
  <sheetViews>
    <sheetView zoomScaleNormal="100" workbookViewId="0">
      <selection activeCell="I30" sqref="I30"/>
    </sheetView>
  </sheetViews>
  <sheetFormatPr defaultColWidth="12" defaultRowHeight="15" customHeight="1" x14ac:dyDescent="0.2"/>
  <cols>
    <col min="1" max="1" width="81.5" style="1" customWidth="1"/>
    <col min="2" max="2" width="20.83203125" style="1" customWidth="1"/>
    <col min="3" max="4" width="20.83203125" style="3" customWidth="1"/>
    <col min="5" max="5" width="18.83203125" style="1" customWidth="1"/>
    <col min="6" max="6" width="39" style="1" customWidth="1"/>
    <col min="7" max="7" width="14" style="1" customWidth="1"/>
    <col min="8" max="8" width="12" style="1"/>
    <col min="9" max="9" width="16.5" style="1" customWidth="1"/>
    <col min="10" max="16384" width="12" style="1"/>
  </cols>
  <sheetData>
    <row r="1" spans="1:9" s="61" customFormat="1" ht="15" customHeight="1" x14ac:dyDescent="0.25">
      <c r="A1" s="1961"/>
      <c r="B1" s="1961"/>
      <c r="C1" s="76"/>
      <c r="D1" s="76"/>
      <c r="E1" s="416"/>
    </row>
    <row r="2" spans="1:9" s="61" customFormat="1" ht="24" customHeight="1" x14ac:dyDescent="0.3">
      <c r="A2" s="1890" t="s">
        <v>246</v>
      </c>
      <c r="B2" s="1890"/>
      <c r="C2" s="1890"/>
      <c r="D2" s="1890"/>
      <c r="E2" s="1890"/>
    </row>
    <row r="3" spans="1:9" s="61" customFormat="1" ht="12" customHeight="1" x14ac:dyDescent="0.25">
      <c r="A3" s="60"/>
      <c r="B3" s="60"/>
      <c r="C3" s="76"/>
      <c r="D3" s="76"/>
    </row>
    <row r="4" spans="1:9" s="61" customFormat="1" ht="15" customHeight="1" thickBot="1" x14ac:dyDescent="0.3">
      <c r="A4" s="63"/>
      <c r="B4" s="77"/>
      <c r="C4" s="64"/>
      <c r="D4" s="64"/>
      <c r="E4" s="77" t="s">
        <v>14</v>
      </c>
    </row>
    <row r="5" spans="1:9" s="61" customFormat="1" ht="24" customHeight="1" x14ac:dyDescent="0.3">
      <c r="A5" s="1528" t="s">
        <v>28</v>
      </c>
      <c r="B5" s="1962" t="s">
        <v>496</v>
      </c>
      <c r="C5" s="1962"/>
      <c r="D5" s="113" t="s">
        <v>272</v>
      </c>
      <c r="E5" s="89" t="s">
        <v>83</v>
      </c>
    </row>
    <row r="6" spans="1:9" s="61" customFormat="1" ht="36" customHeight="1" thickBot="1" x14ac:dyDescent="0.35">
      <c r="A6" s="87"/>
      <c r="B6" s="198" t="s">
        <v>169</v>
      </c>
      <c r="C6" s="198" t="s">
        <v>81</v>
      </c>
      <c r="D6" s="199" t="s">
        <v>82</v>
      </c>
      <c r="E6" s="80" t="s">
        <v>84</v>
      </c>
    </row>
    <row r="7" spans="1:9" s="61" customFormat="1" ht="24" customHeight="1" x14ac:dyDescent="0.3">
      <c r="A7" s="1436" t="s">
        <v>57</v>
      </c>
      <c r="B7" s="1278">
        <v>40000</v>
      </c>
      <c r="C7" s="1278">
        <v>40000</v>
      </c>
      <c r="D7" s="1246">
        <v>40000</v>
      </c>
      <c r="E7" s="1275">
        <f>+D7/C7*100</f>
        <v>100</v>
      </c>
      <c r="F7" s="76"/>
      <c r="G7" s="76"/>
      <c r="H7" s="76"/>
      <c r="I7" s="76"/>
    </row>
    <row r="8" spans="1:9" s="61" customFormat="1" ht="24" customHeight="1" x14ac:dyDescent="0.3">
      <c r="A8" s="1529" t="s">
        <v>170</v>
      </c>
      <c r="B8" s="1278">
        <v>15000</v>
      </c>
      <c r="C8" s="1278">
        <v>15000</v>
      </c>
      <c r="D8" s="1246">
        <v>15000</v>
      </c>
      <c r="E8" s="1275">
        <f t="shared" ref="E8:E33" si="0">+D8/C8*100</f>
        <v>100</v>
      </c>
      <c r="F8" s="76"/>
      <c r="G8" s="76"/>
      <c r="H8" s="76"/>
      <c r="I8" s="76"/>
    </row>
    <row r="9" spans="1:9" s="61" customFormat="1" ht="24" customHeight="1" x14ac:dyDescent="0.3">
      <c r="A9" s="1529" t="s">
        <v>37</v>
      </c>
      <c r="B9" s="1278">
        <v>5000</v>
      </c>
      <c r="C9" s="1278">
        <v>1218</v>
      </c>
      <c r="D9" s="1246">
        <v>0</v>
      </c>
      <c r="E9" s="1275">
        <f t="shared" si="0"/>
        <v>0</v>
      </c>
      <c r="F9" s="76"/>
      <c r="G9" s="76"/>
      <c r="H9" s="76"/>
      <c r="I9" s="76"/>
    </row>
    <row r="10" spans="1:9" s="61" customFormat="1" ht="24" customHeight="1" x14ac:dyDescent="0.3">
      <c r="A10" s="1529" t="s">
        <v>274</v>
      </c>
      <c r="B10" s="1278">
        <v>143700</v>
      </c>
      <c r="C10" s="1278">
        <v>196457</v>
      </c>
      <c r="D10" s="1246">
        <v>123088</v>
      </c>
      <c r="E10" s="1275">
        <f t="shared" si="0"/>
        <v>62.653914088070159</v>
      </c>
      <c r="F10" s="76"/>
      <c r="G10" s="76"/>
      <c r="H10" s="76"/>
      <c r="I10" s="76"/>
    </row>
    <row r="11" spans="1:9" s="61" customFormat="1" ht="24" customHeight="1" x14ac:dyDescent="0.3">
      <c r="A11" s="1529" t="s">
        <v>255</v>
      </c>
      <c r="B11" s="1278">
        <v>25000</v>
      </c>
      <c r="C11" s="1278">
        <v>25000</v>
      </c>
      <c r="D11" s="1246">
        <v>12853</v>
      </c>
      <c r="E11" s="1275">
        <f t="shared" si="0"/>
        <v>51.411999999999999</v>
      </c>
      <c r="F11" s="76"/>
      <c r="G11" s="76"/>
      <c r="H11" s="76"/>
      <c r="I11" s="76"/>
    </row>
    <row r="12" spans="1:9" s="61" customFormat="1" ht="24" customHeight="1" x14ac:dyDescent="0.3">
      <c r="A12" s="1529" t="s">
        <v>325</v>
      </c>
      <c r="B12" s="1278">
        <v>6000</v>
      </c>
      <c r="C12" s="1278">
        <v>18932</v>
      </c>
      <c r="D12" s="1246">
        <v>2803</v>
      </c>
      <c r="E12" s="1275">
        <f t="shared" si="0"/>
        <v>14.805620114092541</v>
      </c>
      <c r="F12" s="76"/>
      <c r="G12" s="76"/>
      <c r="H12" s="76"/>
      <c r="I12" s="76"/>
    </row>
    <row r="13" spans="1:9" s="61" customFormat="1" ht="24" customHeight="1" x14ac:dyDescent="0.3">
      <c r="A13" s="1530" t="s">
        <v>326</v>
      </c>
      <c r="B13" s="1278">
        <v>5000</v>
      </c>
      <c r="C13" s="1278">
        <v>4189</v>
      </c>
      <c r="D13" s="1246">
        <v>4189</v>
      </c>
      <c r="E13" s="1275">
        <f t="shared" si="0"/>
        <v>100</v>
      </c>
      <c r="F13" s="76"/>
      <c r="G13" s="76"/>
      <c r="H13" s="76"/>
      <c r="I13" s="76"/>
    </row>
    <row r="14" spans="1:9" s="61" customFormat="1" ht="24" customHeight="1" x14ac:dyDescent="0.3">
      <c r="A14" s="1529" t="s">
        <v>89</v>
      </c>
      <c r="B14" s="1278">
        <v>800</v>
      </c>
      <c r="C14" s="1278">
        <v>3264</v>
      </c>
      <c r="D14" s="1246">
        <v>2388</v>
      </c>
      <c r="E14" s="1275">
        <f t="shared" si="0"/>
        <v>73.161764705882348</v>
      </c>
      <c r="F14" s="76"/>
      <c r="G14" s="76"/>
      <c r="H14" s="76"/>
      <c r="I14" s="76"/>
    </row>
    <row r="15" spans="1:9" s="61" customFormat="1" ht="24" customHeight="1" x14ac:dyDescent="0.3">
      <c r="A15" s="1529" t="s">
        <v>38</v>
      </c>
      <c r="B15" s="1278">
        <v>6000</v>
      </c>
      <c r="C15" s="1278">
        <v>6000</v>
      </c>
      <c r="D15" s="1246">
        <v>1603</v>
      </c>
      <c r="E15" s="1275">
        <f t="shared" si="0"/>
        <v>26.716666666666665</v>
      </c>
      <c r="F15" s="76"/>
      <c r="G15" s="76"/>
      <c r="H15" s="76"/>
      <c r="I15" s="76"/>
    </row>
    <row r="16" spans="1:9" s="61" customFormat="1" ht="24" customHeight="1" x14ac:dyDescent="0.3">
      <c r="A16" s="1529" t="s">
        <v>48</v>
      </c>
      <c r="B16" s="1278">
        <v>2000</v>
      </c>
      <c r="C16" s="1278">
        <v>6783</v>
      </c>
      <c r="D16" s="1246"/>
      <c r="E16" s="1275">
        <f t="shared" si="0"/>
        <v>0</v>
      </c>
      <c r="F16" s="76"/>
      <c r="G16" s="76"/>
      <c r="H16" s="76"/>
      <c r="I16" s="76"/>
    </row>
    <row r="17" spans="1:9" s="61" customFormat="1" ht="24" customHeight="1" x14ac:dyDescent="0.3">
      <c r="A17" s="1529" t="s">
        <v>171</v>
      </c>
      <c r="B17" s="1278">
        <v>130000</v>
      </c>
      <c r="C17" s="1278">
        <v>200184</v>
      </c>
      <c r="D17" s="1246">
        <v>117670</v>
      </c>
      <c r="E17" s="1275">
        <f t="shared" si="0"/>
        <v>58.780921552172003</v>
      </c>
      <c r="F17" s="76"/>
      <c r="G17" s="76"/>
      <c r="H17" s="76"/>
      <c r="I17" s="76"/>
    </row>
    <row r="18" spans="1:9" s="61" customFormat="1" ht="24" customHeight="1" x14ac:dyDescent="0.3">
      <c r="A18" s="1529" t="s">
        <v>472</v>
      </c>
      <c r="B18" s="1278">
        <v>65000</v>
      </c>
      <c r="C18" s="1278">
        <v>37959</v>
      </c>
      <c r="D18" s="1246">
        <v>26923</v>
      </c>
      <c r="E18" s="1275">
        <f t="shared" si="0"/>
        <v>70.92652598856661</v>
      </c>
      <c r="F18" s="76"/>
      <c r="G18" s="76"/>
      <c r="H18" s="76"/>
      <c r="I18" s="76"/>
    </row>
    <row r="19" spans="1:9" s="61" customFormat="1" ht="24" customHeight="1" x14ac:dyDescent="0.3">
      <c r="A19" s="1529" t="s">
        <v>88</v>
      </c>
      <c r="B19" s="1278">
        <v>21000</v>
      </c>
      <c r="C19" s="1278">
        <v>21000</v>
      </c>
      <c r="D19" s="1246">
        <v>21000</v>
      </c>
      <c r="E19" s="1275">
        <f t="shared" si="0"/>
        <v>100</v>
      </c>
      <c r="F19" s="76"/>
      <c r="G19" s="76"/>
      <c r="H19" s="76"/>
      <c r="I19" s="76"/>
    </row>
    <row r="20" spans="1:9" s="61" customFormat="1" ht="41.25" customHeight="1" x14ac:dyDescent="0.3">
      <c r="A20" s="1530" t="s">
        <v>488</v>
      </c>
      <c r="B20" s="1278">
        <v>6000</v>
      </c>
      <c r="C20" s="1278">
        <v>8986</v>
      </c>
      <c r="D20" s="1246">
        <v>7032</v>
      </c>
      <c r="E20" s="1275">
        <f t="shared" si="0"/>
        <v>78.255063432005343</v>
      </c>
      <c r="F20" s="76"/>
      <c r="G20" s="76"/>
      <c r="H20" s="76"/>
      <c r="I20" s="76"/>
    </row>
    <row r="21" spans="1:9" s="61" customFormat="1" ht="24" customHeight="1" x14ac:dyDescent="0.3">
      <c r="A21" s="1529" t="s">
        <v>473</v>
      </c>
      <c r="B21" s="1278">
        <v>4000</v>
      </c>
      <c r="C21" s="1278">
        <v>16507</v>
      </c>
      <c r="D21" s="1246">
        <v>2363</v>
      </c>
      <c r="E21" s="1275">
        <f t="shared" si="0"/>
        <v>14.315139031925849</v>
      </c>
      <c r="F21" s="76"/>
      <c r="G21" s="76"/>
      <c r="H21" s="76"/>
      <c r="I21" s="76"/>
    </row>
    <row r="22" spans="1:9" s="61" customFormat="1" ht="41.25" customHeight="1" x14ac:dyDescent="0.3">
      <c r="A22" s="1530" t="s">
        <v>256</v>
      </c>
      <c r="B22" s="1278">
        <v>3000</v>
      </c>
      <c r="C22" s="1278">
        <v>6151</v>
      </c>
      <c r="D22" s="1246"/>
      <c r="E22" s="1275">
        <f t="shared" si="0"/>
        <v>0</v>
      </c>
      <c r="F22" s="76"/>
      <c r="G22" s="76"/>
      <c r="H22" s="76"/>
      <c r="I22" s="76"/>
    </row>
    <row r="23" spans="1:9" s="61" customFormat="1" ht="24" customHeight="1" x14ac:dyDescent="0.3">
      <c r="A23" s="1531" t="s">
        <v>220</v>
      </c>
      <c r="B23" s="1274">
        <v>20000</v>
      </c>
      <c r="C23" s="1274">
        <v>100478</v>
      </c>
      <c r="D23" s="1246">
        <v>64320</v>
      </c>
      <c r="E23" s="1275">
        <f t="shared" si="0"/>
        <v>64.014013017775042</v>
      </c>
      <c r="F23" s="76"/>
      <c r="G23" s="76"/>
      <c r="H23" s="76"/>
      <c r="I23" s="76"/>
    </row>
    <row r="24" spans="1:9" s="61" customFormat="1" ht="24" customHeight="1" x14ac:dyDescent="0.3">
      <c r="A24" s="1531" t="s">
        <v>428</v>
      </c>
      <c r="B24" s="1274">
        <v>10000</v>
      </c>
      <c r="C24" s="1274">
        <v>490</v>
      </c>
      <c r="D24" s="1246">
        <v>235</v>
      </c>
      <c r="E24" s="1275">
        <f t="shared" si="0"/>
        <v>47.959183673469383</v>
      </c>
      <c r="F24" s="76"/>
      <c r="G24" s="76"/>
      <c r="H24" s="76"/>
      <c r="I24" s="76"/>
    </row>
    <row r="25" spans="1:9" s="61" customFormat="1" ht="24" customHeight="1" x14ac:dyDescent="0.3">
      <c r="A25" s="1529" t="s">
        <v>495</v>
      </c>
      <c r="B25" s="1278">
        <v>1500</v>
      </c>
      <c r="C25" s="1278">
        <v>3616</v>
      </c>
      <c r="D25" s="1246">
        <v>2028</v>
      </c>
      <c r="E25" s="1275">
        <f t="shared" si="0"/>
        <v>56.084070796460175</v>
      </c>
      <c r="F25" s="76"/>
      <c r="G25" s="76"/>
      <c r="H25" s="76"/>
      <c r="I25" s="76"/>
    </row>
    <row r="26" spans="1:9" s="61" customFormat="1" ht="24" customHeight="1" x14ac:dyDescent="0.3">
      <c r="A26" s="1531" t="s">
        <v>431</v>
      </c>
      <c r="B26" s="1274"/>
      <c r="C26" s="1274">
        <v>22300</v>
      </c>
      <c r="D26" s="1246"/>
      <c r="E26" s="1275">
        <f t="shared" si="0"/>
        <v>0</v>
      </c>
      <c r="F26" s="76"/>
      <c r="G26" s="76"/>
      <c r="H26" s="76"/>
      <c r="I26" s="76"/>
    </row>
    <row r="27" spans="1:9" s="61" customFormat="1" ht="24" customHeight="1" x14ac:dyDescent="0.3">
      <c r="A27" s="1520" t="s">
        <v>437</v>
      </c>
      <c r="B27" s="1274"/>
      <c r="C27" s="1274">
        <v>28000</v>
      </c>
      <c r="D27" s="1247">
        <v>27951</v>
      </c>
      <c r="E27" s="1275">
        <f t="shared" si="0"/>
        <v>99.825000000000003</v>
      </c>
      <c r="F27" s="76"/>
      <c r="G27" s="76"/>
      <c r="H27" s="76"/>
      <c r="I27" s="76"/>
    </row>
    <row r="28" spans="1:9" s="61" customFormat="1" ht="24" customHeight="1" x14ac:dyDescent="0.3">
      <c r="A28" s="1520" t="s">
        <v>445</v>
      </c>
      <c r="B28" s="1274"/>
      <c r="C28" s="1274">
        <v>2427</v>
      </c>
      <c r="D28" s="1247"/>
      <c r="E28" s="1275">
        <f t="shared" si="0"/>
        <v>0</v>
      </c>
      <c r="F28" s="76"/>
      <c r="G28" s="76"/>
      <c r="H28" s="76"/>
      <c r="I28" s="76"/>
    </row>
    <row r="29" spans="1:9" s="61" customFormat="1" ht="44.25" customHeight="1" x14ac:dyDescent="0.3">
      <c r="A29" s="1532" t="s">
        <v>452</v>
      </c>
      <c r="B29" s="1274"/>
      <c r="C29" s="1274">
        <v>89902</v>
      </c>
      <c r="D29" s="1247">
        <v>89901</v>
      </c>
      <c r="E29" s="1275">
        <f t="shared" si="0"/>
        <v>99.998887677693489</v>
      </c>
      <c r="F29" s="76"/>
      <c r="G29" s="76"/>
      <c r="H29" s="76"/>
      <c r="I29" s="76"/>
    </row>
    <row r="30" spans="1:9" s="61" customFormat="1" ht="57" customHeight="1" x14ac:dyDescent="0.3">
      <c r="A30" s="1532" t="s">
        <v>573</v>
      </c>
      <c r="B30" s="1274"/>
      <c r="C30" s="1274">
        <v>19583</v>
      </c>
      <c r="D30" s="1247"/>
      <c r="E30" s="1275">
        <f t="shared" si="0"/>
        <v>0</v>
      </c>
      <c r="F30" s="76"/>
      <c r="G30" s="76"/>
      <c r="H30" s="76"/>
      <c r="I30" s="76"/>
    </row>
    <row r="31" spans="1:9" s="61" customFormat="1" ht="18.75" x14ac:dyDescent="0.3">
      <c r="A31" s="1533" t="s">
        <v>453</v>
      </c>
      <c r="B31" s="1278">
        <v>400000</v>
      </c>
      <c r="C31" s="1278">
        <v>390326</v>
      </c>
      <c r="D31" s="1247">
        <v>390325</v>
      </c>
      <c r="E31" s="1275">
        <f t="shared" si="0"/>
        <v>99.99974380389726</v>
      </c>
      <c r="F31" s="76"/>
      <c r="G31" s="76"/>
      <c r="H31" s="76"/>
      <c r="I31" s="76"/>
    </row>
    <row r="32" spans="1:9" s="61" customFormat="1" ht="26.25" customHeight="1" thickBot="1" x14ac:dyDescent="0.35">
      <c r="A32" s="1529" t="s">
        <v>409</v>
      </c>
      <c r="B32" s="1278">
        <v>10000</v>
      </c>
      <c r="C32" s="1278">
        <v>21728</v>
      </c>
      <c r="D32" s="1246">
        <v>699</v>
      </c>
      <c r="E32" s="1275">
        <f t="shared" si="0"/>
        <v>3.217047128129602</v>
      </c>
      <c r="F32" s="76"/>
      <c r="G32" s="76"/>
      <c r="H32" s="76"/>
      <c r="I32" s="76"/>
    </row>
    <row r="33" spans="1:9" s="61" customFormat="1" ht="24" customHeight="1" thickBot="1" x14ac:dyDescent="0.35">
      <c r="A33" s="1534" t="s">
        <v>294</v>
      </c>
      <c r="B33" s="229">
        <f>SUM(B7:B32)</f>
        <v>919000</v>
      </c>
      <c r="C33" s="229">
        <f>SUM(C7:C32)</f>
        <v>1286480</v>
      </c>
      <c r="D33" s="229">
        <f>SUM(D7:D32)</f>
        <v>952371</v>
      </c>
      <c r="E33" s="209">
        <f t="shared" si="0"/>
        <v>74.02921149182265</v>
      </c>
      <c r="F33" s="76"/>
      <c r="G33" s="76"/>
      <c r="H33" s="76"/>
      <c r="I33" s="76"/>
    </row>
    <row r="34" spans="1:9" ht="15" customHeight="1" x14ac:dyDescent="0.2">
      <c r="B34" s="5"/>
    </row>
    <row r="35" spans="1:9" ht="15" hidden="1" customHeight="1" x14ac:dyDescent="0.2"/>
    <row r="37" spans="1:9" ht="15" customHeight="1" x14ac:dyDescent="0.2">
      <c r="B37" s="3"/>
    </row>
    <row r="38" spans="1:9" ht="15" customHeight="1" x14ac:dyDescent="0.2">
      <c r="B38" s="3"/>
    </row>
    <row r="39" spans="1:9" ht="15" customHeight="1" x14ac:dyDescent="0.2">
      <c r="B39" s="3"/>
      <c r="E39" s="3"/>
      <c r="F39" s="3"/>
      <c r="G39" s="3"/>
    </row>
    <row r="40" spans="1:9" ht="15" customHeight="1" x14ac:dyDescent="0.2">
      <c r="B40" s="3"/>
    </row>
    <row r="41" spans="1:9" ht="15" customHeight="1" x14ac:dyDescent="0.2">
      <c r="B41" s="3"/>
    </row>
    <row r="42" spans="1:9" ht="15" customHeight="1" x14ac:dyDescent="0.2">
      <c r="B42" s="3"/>
    </row>
    <row r="43" spans="1:9" ht="15" customHeight="1" x14ac:dyDescent="0.2">
      <c r="B43" s="3"/>
    </row>
    <row r="44" spans="1:9" ht="15" customHeight="1" x14ac:dyDescent="0.2">
      <c r="B44" s="3"/>
    </row>
    <row r="45" spans="1:9" ht="15" customHeight="1" x14ac:dyDescent="0.2">
      <c r="B45" s="3"/>
    </row>
    <row r="46" spans="1:9" ht="15" customHeight="1" x14ac:dyDescent="0.2">
      <c r="B46" s="3"/>
    </row>
    <row r="47" spans="1:9" ht="15" customHeight="1" x14ac:dyDescent="0.2">
      <c r="B47" s="3"/>
    </row>
    <row r="48" spans="1:9" ht="15" customHeight="1" x14ac:dyDescent="0.2">
      <c r="B48" s="3"/>
    </row>
    <row r="49" spans="2:2" ht="15" customHeight="1" x14ac:dyDescent="0.2">
      <c r="B49" s="3"/>
    </row>
    <row r="50" spans="2:2" ht="15" customHeight="1" x14ac:dyDescent="0.2">
      <c r="B50" s="3"/>
    </row>
    <row r="51" spans="2:2" ht="15" customHeight="1" x14ac:dyDescent="0.2">
      <c r="B51" s="3"/>
    </row>
    <row r="52" spans="2:2" ht="15" customHeight="1" x14ac:dyDescent="0.2">
      <c r="B52" s="3"/>
    </row>
    <row r="53" spans="2:2" ht="15" customHeight="1" x14ac:dyDescent="0.2">
      <c r="B53" s="3"/>
    </row>
    <row r="54" spans="2:2" ht="15" customHeight="1" x14ac:dyDescent="0.2">
      <c r="B54" s="3"/>
    </row>
    <row r="55" spans="2:2" ht="15" customHeight="1" x14ac:dyDescent="0.2">
      <c r="B55" s="3"/>
    </row>
    <row r="56" spans="2:2" ht="15" customHeight="1" x14ac:dyDescent="0.2">
      <c r="B56" s="3"/>
    </row>
    <row r="57" spans="2:2" ht="15" customHeight="1" x14ac:dyDescent="0.2">
      <c r="B57" s="3"/>
    </row>
    <row r="58" spans="2:2" ht="15" customHeight="1" x14ac:dyDescent="0.2">
      <c r="B58" s="3"/>
    </row>
    <row r="59" spans="2:2" ht="15" customHeight="1" x14ac:dyDescent="0.2">
      <c r="B59" s="3"/>
    </row>
    <row r="60" spans="2:2" ht="15" customHeight="1" x14ac:dyDescent="0.2">
      <c r="B60" s="3"/>
    </row>
    <row r="61" spans="2:2" ht="15" customHeight="1" x14ac:dyDescent="0.2">
      <c r="B61" s="3"/>
    </row>
    <row r="62" spans="2:2" ht="15" customHeight="1" x14ac:dyDescent="0.2">
      <c r="B62" s="3"/>
    </row>
    <row r="63" spans="2:2" ht="15" customHeight="1" x14ac:dyDescent="0.2">
      <c r="B63" s="3"/>
    </row>
    <row r="64" spans="2:2" ht="15" customHeight="1" x14ac:dyDescent="0.2">
      <c r="B64" s="3"/>
    </row>
    <row r="65" spans="2:2" ht="15" customHeight="1" x14ac:dyDescent="0.2">
      <c r="B65" s="3"/>
    </row>
    <row r="66" spans="2:2" ht="15" customHeight="1" x14ac:dyDescent="0.2">
      <c r="B66" s="3"/>
    </row>
    <row r="67" spans="2:2" ht="15" customHeight="1" x14ac:dyDescent="0.2">
      <c r="B67" s="3"/>
    </row>
    <row r="68" spans="2:2" ht="15" customHeight="1" x14ac:dyDescent="0.2">
      <c r="B68" s="3"/>
    </row>
    <row r="69" spans="2:2" ht="15" customHeight="1" x14ac:dyDescent="0.2">
      <c r="B69" s="3"/>
    </row>
    <row r="70" spans="2:2" ht="15" customHeight="1" x14ac:dyDescent="0.2">
      <c r="B70" s="3"/>
    </row>
    <row r="71" spans="2:2" ht="15" customHeight="1" x14ac:dyDescent="0.2">
      <c r="B71" s="3"/>
    </row>
    <row r="72" spans="2:2" ht="15" customHeight="1" x14ac:dyDescent="0.2">
      <c r="B72" s="3"/>
    </row>
    <row r="73" spans="2:2" ht="15" customHeight="1" x14ac:dyDescent="0.2">
      <c r="B73" s="3"/>
    </row>
    <row r="74" spans="2:2" ht="15" customHeight="1" x14ac:dyDescent="0.2">
      <c r="B74" s="3"/>
    </row>
    <row r="75" spans="2:2" ht="15" customHeight="1" x14ac:dyDescent="0.2">
      <c r="B75" s="3"/>
    </row>
    <row r="76" spans="2:2" ht="15" customHeight="1" x14ac:dyDescent="0.2">
      <c r="B76" s="3"/>
    </row>
    <row r="77" spans="2:2" ht="15" customHeight="1" x14ac:dyDescent="0.2">
      <c r="B77" s="3"/>
    </row>
    <row r="78" spans="2:2" ht="15" customHeight="1" x14ac:dyDescent="0.2">
      <c r="B78" s="3"/>
    </row>
    <row r="79" spans="2:2" ht="15" customHeight="1" x14ac:dyDescent="0.2">
      <c r="B79" s="3"/>
    </row>
    <row r="80" spans="2:2" ht="15" customHeight="1" x14ac:dyDescent="0.2">
      <c r="B80" s="3"/>
    </row>
    <row r="81" spans="2:2" ht="15" customHeight="1" x14ac:dyDescent="0.2">
      <c r="B81" s="3"/>
    </row>
    <row r="82" spans="2:2" ht="15" customHeight="1" x14ac:dyDescent="0.2">
      <c r="B82" s="3"/>
    </row>
    <row r="83" spans="2:2" ht="15" customHeight="1" x14ac:dyDescent="0.2">
      <c r="B83" s="3"/>
    </row>
    <row r="84" spans="2:2" ht="15" customHeight="1" x14ac:dyDescent="0.2">
      <c r="B84" s="3"/>
    </row>
    <row r="85" spans="2:2" ht="15" customHeight="1" x14ac:dyDescent="0.2">
      <c r="B85" s="3"/>
    </row>
    <row r="86" spans="2:2" ht="15" customHeight="1" x14ac:dyDescent="0.2">
      <c r="B86" s="3"/>
    </row>
    <row r="87" spans="2:2" ht="15" customHeight="1" x14ac:dyDescent="0.2">
      <c r="B87" s="3"/>
    </row>
    <row r="88" spans="2:2" ht="15" customHeight="1" x14ac:dyDescent="0.2">
      <c r="B88" s="3"/>
    </row>
    <row r="89" spans="2:2" ht="15" customHeight="1" x14ac:dyDescent="0.2">
      <c r="B89" s="3"/>
    </row>
    <row r="90" spans="2:2" ht="15" customHeight="1" x14ac:dyDescent="0.2">
      <c r="B90" s="3"/>
    </row>
    <row r="91" spans="2:2" ht="15" customHeight="1" x14ac:dyDescent="0.2">
      <c r="B91" s="3"/>
    </row>
    <row r="92" spans="2:2" ht="15" customHeight="1" x14ac:dyDescent="0.2">
      <c r="B92" s="3"/>
    </row>
    <row r="93" spans="2:2" ht="15" customHeight="1" x14ac:dyDescent="0.2">
      <c r="B93" s="3"/>
    </row>
    <row r="94" spans="2:2" ht="15" customHeight="1" x14ac:dyDescent="0.2">
      <c r="B94" s="3"/>
    </row>
    <row r="95" spans="2:2" ht="15" customHeight="1" x14ac:dyDescent="0.2">
      <c r="B95" s="3"/>
    </row>
    <row r="96" spans="2:2" ht="15" customHeight="1" x14ac:dyDescent="0.2">
      <c r="B96" s="3"/>
    </row>
    <row r="97" spans="2:2" ht="15" customHeight="1" x14ac:dyDescent="0.2">
      <c r="B97" s="3"/>
    </row>
    <row r="98" spans="2:2" ht="15" customHeight="1" x14ac:dyDescent="0.2">
      <c r="B98" s="3"/>
    </row>
    <row r="99" spans="2:2" ht="15" customHeight="1" x14ac:dyDescent="0.2">
      <c r="B99" s="3"/>
    </row>
    <row r="100" spans="2:2" ht="15" customHeight="1" x14ac:dyDescent="0.2">
      <c r="B100" s="3"/>
    </row>
    <row r="101" spans="2:2" ht="15" customHeight="1" x14ac:dyDescent="0.2">
      <c r="B101" s="3"/>
    </row>
    <row r="102" spans="2:2" ht="15" customHeight="1" x14ac:dyDescent="0.2">
      <c r="B102" s="3"/>
    </row>
    <row r="103" spans="2:2" ht="15" customHeight="1" x14ac:dyDescent="0.2">
      <c r="B103" s="3"/>
    </row>
    <row r="104" spans="2:2" ht="15" customHeight="1" x14ac:dyDescent="0.2">
      <c r="B104" s="3"/>
    </row>
    <row r="105" spans="2:2" ht="15" customHeight="1" x14ac:dyDescent="0.2">
      <c r="B105" s="3"/>
    </row>
    <row r="106" spans="2:2" ht="15" customHeight="1" x14ac:dyDescent="0.2">
      <c r="B106" s="3"/>
    </row>
    <row r="107" spans="2:2" ht="15" customHeight="1" x14ac:dyDescent="0.2">
      <c r="B107" s="3"/>
    </row>
    <row r="108" spans="2:2" ht="15" customHeight="1" x14ac:dyDescent="0.2">
      <c r="B108" s="3"/>
    </row>
    <row r="109" spans="2:2" ht="15" customHeight="1" x14ac:dyDescent="0.2">
      <c r="B109" s="3"/>
    </row>
    <row r="110" spans="2:2" ht="15" customHeight="1" x14ac:dyDescent="0.2">
      <c r="B110" s="3"/>
    </row>
    <row r="111" spans="2:2" ht="15" customHeight="1" x14ac:dyDescent="0.2">
      <c r="B111" s="3"/>
    </row>
    <row r="112" spans="2:2" ht="15" customHeight="1" x14ac:dyDescent="0.2">
      <c r="B112" s="3"/>
    </row>
    <row r="113" spans="2:2" ht="15" customHeight="1" x14ac:dyDescent="0.2">
      <c r="B113" s="3"/>
    </row>
    <row r="114" spans="2:2" ht="15" customHeight="1" x14ac:dyDescent="0.2">
      <c r="B114" s="3"/>
    </row>
    <row r="115" spans="2:2" ht="15" customHeight="1" x14ac:dyDescent="0.2">
      <c r="B115" s="3"/>
    </row>
    <row r="116" spans="2:2" ht="15" customHeight="1" x14ac:dyDescent="0.2">
      <c r="B116" s="3"/>
    </row>
    <row r="117" spans="2:2" ht="15" customHeight="1" x14ac:dyDescent="0.2">
      <c r="B117" s="3"/>
    </row>
    <row r="118" spans="2:2" ht="15" customHeight="1" x14ac:dyDescent="0.2">
      <c r="B118" s="3"/>
    </row>
    <row r="119" spans="2:2" ht="15" customHeight="1" x14ac:dyDescent="0.2">
      <c r="B119" s="3"/>
    </row>
    <row r="120" spans="2:2" ht="15" customHeight="1" x14ac:dyDescent="0.2">
      <c r="B120" s="3"/>
    </row>
    <row r="121" spans="2:2" ht="15" customHeight="1" x14ac:dyDescent="0.2">
      <c r="B121" s="3"/>
    </row>
    <row r="122" spans="2:2" ht="15" customHeight="1" x14ac:dyDescent="0.2">
      <c r="B122" s="3"/>
    </row>
    <row r="123" spans="2:2" ht="15" customHeight="1" x14ac:dyDescent="0.2">
      <c r="B123" s="3"/>
    </row>
    <row r="124" spans="2:2" ht="15" customHeight="1" x14ac:dyDescent="0.2">
      <c r="B124" s="3"/>
    </row>
    <row r="125" spans="2:2" ht="15" customHeight="1" x14ac:dyDescent="0.2">
      <c r="B125" s="3"/>
    </row>
    <row r="126" spans="2:2" ht="15" customHeight="1" x14ac:dyDescent="0.2">
      <c r="B126" s="3"/>
    </row>
    <row r="127" spans="2:2" ht="15" customHeight="1" x14ac:dyDescent="0.2">
      <c r="B127" s="3"/>
    </row>
    <row r="128" spans="2:2" ht="15" customHeight="1" x14ac:dyDescent="0.2">
      <c r="B128" s="3"/>
    </row>
    <row r="129" spans="2:2" ht="15" customHeight="1" x14ac:dyDescent="0.2">
      <c r="B129" s="3"/>
    </row>
    <row r="130" spans="2:2" ht="15" customHeight="1" x14ac:dyDescent="0.2">
      <c r="B130" s="3"/>
    </row>
    <row r="131" spans="2:2" ht="15" customHeight="1" x14ac:dyDescent="0.2">
      <c r="B131" s="3"/>
    </row>
    <row r="132" spans="2:2" ht="15" customHeight="1" x14ac:dyDescent="0.2">
      <c r="B132" s="3"/>
    </row>
    <row r="133" spans="2:2" ht="15" customHeight="1" x14ac:dyDescent="0.2">
      <c r="B133" s="3"/>
    </row>
    <row r="134" spans="2:2" ht="15" customHeight="1" x14ac:dyDescent="0.2">
      <c r="B134" s="3"/>
    </row>
    <row r="135" spans="2:2" ht="15" customHeight="1" x14ac:dyDescent="0.2">
      <c r="B135" s="3"/>
    </row>
    <row r="136" spans="2:2" ht="15" customHeight="1" x14ac:dyDescent="0.2">
      <c r="B136" s="3"/>
    </row>
    <row r="137" spans="2:2" ht="15" customHeight="1" x14ac:dyDescent="0.2">
      <c r="B137" s="3"/>
    </row>
    <row r="138" spans="2:2" ht="15" customHeight="1" x14ac:dyDescent="0.2">
      <c r="B138" s="3"/>
    </row>
    <row r="139" spans="2:2" ht="15" customHeight="1" x14ac:dyDescent="0.2">
      <c r="B139" s="3"/>
    </row>
    <row r="140" spans="2:2" ht="15" customHeight="1" x14ac:dyDescent="0.2">
      <c r="B140" s="3"/>
    </row>
    <row r="141" spans="2:2" ht="15" customHeight="1" x14ac:dyDescent="0.2">
      <c r="B141" s="3"/>
    </row>
    <row r="142" spans="2:2" ht="15" customHeight="1" x14ac:dyDescent="0.2">
      <c r="B142" s="3"/>
    </row>
    <row r="143" spans="2:2" ht="15" customHeight="1" x14ac:dyDescent="0.2">
      <c r="B143" s="3"/>
    </row>
    <row r="144" spans="2:2" ht="15" customHeight="1" x14ac:dyDescent="0.2">
      <c r="B144" s="3"/>
    </row>
    <row r="145" spans="2:2" ht="15" customHeight="1" x14ac:dyDescent="0.2">
      <c r="B145" s="3"/>
    </row>
    <row r="146" spans="2:2" ht="15" customHeight="1" x14ac:dyDescent="0.2">
      <c r="B146" s="3"/>
    </row>
    <row r="147" spans="2:2" ht="15" customHeight="1" x14ac:dyDescent="0.2">
      <c r="B147" s="3"/>
    </row>
    <row r="148" spans="2:2" ht="15" customHeight="1" x14ac:dyDescent="0.2">
      <c r="B148" s="3"/>
    </row>
    <row r="149" spans="2:2" ht="15" customHeight="1" x14ac:dyDescent="0.2">
      <c r="B149" s="3"/>
    </row>
    <row r="150" spans="2:2" ht="15" customHeight="1" x14ac:dyDescent="0.2">
      <c r="B150" s="3"/>
    </row>
    <row r="151" spans="2:2" ht="15" customHeight="1" x14ac:dyDescent="0.2">
      <c r="B151" s="3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75" orientation="portrait" r:id="rId1"/>
  <headerFooter alignWithMargins="0">
    <oddHeader>&amp;R&amp;"Times New Roman CE,Félkövér"&amp;16 &amp;"Calibri,Félkövér"&amp;11  16. melléklet a .../2025. (........) önkormányzati rendelethez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"/>
  <sheetViews>
    <sheetView zoomScaleNormal="100" workbookViewId="0">
      <selection activeCell="I30" sqref="I30"/>
    </sheetView>
  </sheetViews>
  <sheetFormatPr defaultColWidth="10.6640625" defaultRowHeight="15" x14ac:dyDescent="0.2"/>
  <cols>
    <col min="1" max="1" width="6" style="8" customWidth="1"/>
    <col min="2" max="2" width="103.33203125" style="8" customWidth="1"/>
    <col min="3" max="5" width="20.83203125" style="8" customWidth="1"/>
    <col min="6" max="6" width="17.83203125" style="8" customWidth="1"/>
    <col min="7" max="16384" width="10.6640625" style="8"/>
  </cols>
  <sheetData>
    <row r="1" spans="1:6" s="88" customFormat="1" ht="22.5" customHeight="1" x14ac:dyDescent="0.3">
      <c r="A1" s="1977" t="s">
        <v>305</v>
      </c>
      <c r="B1" s="1977"/>
      <c r="C1" s="1977"/>
      <c r="D1" s="1977"/>
      <c r="E1" s="1977"/>
      <c r="F1" s="1977"/>
    </row>
    <row r="2" spans="1:6" s="88" customFormat="1" ht="15.75" thickBot="1" x14ac:dyDescent="0.3">
      <c r="B2" s="94"/>
      <c r="C2" s="95"/>
      <c r="F2" s="95" t="s">
        <v>14</v>
      </c>
    </row>
    <row r="3" spans="1:6" s="88" customFormat="1" ht="22.5" customHeight="1" thickBot="1" x14ac:dyDescent="0.35">
      <c r="A3" s="1411"/>
      <c r="B3" s="1433" t="s">
        <v>28</v>
      </c>
      <c r="C3" s="1889" t="s">
        <v>496</v>
      </c>
      <c r="D3" s="1889"/>
      <c r="E3" s="113" t="s">
        <v>272</v>
      </c>
      <c r="F3" s="187" t="s">
        <v>83</v>
      </c>
    </row>
    <row r="4" spans="1:6" s="88" customFormat="1" ht="22.5" customHeight="1" thickBot="1" x14ac:dyDescent="0.35">
      <c r="A4" s="1301"/>
      <c r="B4" s="1302"/>
      <c r="C4" s="310" t="s">
        <v>169</v>
      </c>
      <c r="D4" s="310" t="s">
        <v>81</v>
      </c>
      <c r="E4" s="216" t="s">
        <v>82</v>
      </c>
      <c r="F4" s="216" t="s">
        <v>84</v>
      </c>
    </row>
    <row r="5" spans="1:6" s="88" customFormat="1" ht="27" customHeight="1" x14ac:dyDescent="0.3">
      <c r="A5" s="1412" t="s">
        <v>228</v>
      </c>
      <c r="B5" s="1413"/>
      <c r="C5" s="217"/>
      <c r="D5" s="217"/>
      <c r="E5" s="217"/>
      <c r="F5" s="217"/>
    </row>
    <row r="6" spans="1:6" s="88" customFormat="1" ht="19.5" customHeight="1" x14ac:dyDescent="0.3">
      <c r="A6" s="1314"/>
      <c r="B6" s="1414"/>
      <c r="C6" s="262"/>
      <c r="D6" s="262"/>
      <c r="E6" s="336"/>
      <c r="F6" s="265"/>
    </row>
    <row r="7" spans="1:6" s="96" customFormat="1" ht="28.5" customHeight="1" x14ac:dyDescent="0.3">
      <c r="A7" s="1415"/>
      <c r="B7" s="1416" t="s">
        <v>99</v>
      </c>
      <c r="C7" s="264">
        <f>SUM(C6:C6)</f>
        <v>0</v>
      </c>
      <c r="D7" s="264">
        <f>SUM(D6:D6)</f>
        <v>0</v>
      </c>
      <c r="E7" s="264">
        <f>SUM(E6:E6)</f>
        <v>0</v>
      </c>
      <c r="F7" s="265"/>
    </row>
    <row r="8" spans="1:6" s="96" customFormat="1" ht="19.5" customHeight="1" x14ac:dyDescent="0.3">
      <c r="A8" s="1415"/>
      <c r="B8" s="1417"/>
      <c r="C8" s="266"/>
      <c r="D8" s="266"/>
      <c r="E8" s="266"/>
      <c r="F8" s="267"/>
    </row>
    <row r="9" spans="1:6" s="97" customFormat="1" ht="41.25" customHeight="1" x14ac:dyDescent="0.3">
      <c r="A9" s="1418"/>
      <c r="B9" s="1419" t="s">
        <v>118</v>
      </c>
      <c r="C9" s="268">
        <f>SUM(C8)</f>
        <v>0</v>
      </c>
      <c r="D9" s="268">
        <f t="shared" ref="D9:E9" si="0">SUM(D8)</f>
        <v>0</v>
      </c>
      <c r="E9" s="268">
        <f t="shared" si="0"/>
        <v>0</v>
      </c>
      <c r="F9" s="269"/>
    </row>
    <row r="10" spans="1:6" s="98" customFormat="1" ht="21.75" customHeight="1" x14ac:dyDescent="0.3">
      <c r="A10" s="1420"/>
      <c r="B10" s="1421"/>
      <c r="C10" s="270"/>
      <c r="D10" s="218"/>
      <c r="E10" s="219"/>
      <c r="F10" s="271"/>
    </row>
    <row r="11" spans="1:6" s="98" customFormat="1" ht="40.5" customHeight="1" x14ac:dyDescent="0.3">
      <c r="A11" s="1420"/>
      <c r="B11" s="1422" t="s">
        <v>400</v>
      </c>
      <c r="C11" s="342"/>
      <c r="D11" s="343">
        <v>568871</v>
      </c>
      <c r="E11" s="343">
        <v>568871</v>
      </c>
      <c r="F11" s="263">
        <f>+E11/D11*100</f>
        <v>100</v>
      </c>
    </row>
    <row r="12" spans="1:6" s="88" customFormat="1" ht="25.5" customHeight="1" x14ac:dyDescent="0.3">
      <c r="A12" s="1314"/>
      <c r="B12" s="1423" t="s">
        <v>100</v>
      </c>
      <c r="C12" s="273">
        <f>SUM(C10:C10)</f>
        <v>0</v>
      </c>
      <c r="D12" s="273">
        <f>SUM(D11:D11)</f>
        <v>568871</v>
      </c>
      <c r="E12" s="273">
        <f>SUM(E11:E11)</f>
        <v>568871</v>
      </c>
      <c r="F12" s="274">
        <f t="shared" ref="F12:F18" si="1">+E12/D12*100</f>
        <v>100</v>
      </c>
    </row>
    <row r="13" spans="1:6" s="88" customFormat="1" ht="25.5" customHeight="1" x14ac:dyDescent="0.3">
      <c r="A13" s="1424" t="s">
        <v>225</v>
      </c>
      <c r="B13" s="1425"/>
      <c r="C13" s="275">
        <f>+C12+C9+C7</f>
        <v>0</v>
      </c>
      <c r="D13" s="275">
        <f>+D12+D9+D7</f>
        <v>568871</v>
      </c>
      <c r="E13" s="275">
        <f>+E12+E9+E7</f>
        <v>568871</v>
      </c>
      <c r="F13" s="276">
        <f t="shared" si="1"/>
        <v>100</v>
      </c>
    </row>
    <row r="14" spans="1:6" s="88" customFormat="1" ht="26.25" customHeight="1" x14ac:dyDescent="0.3">
      <c r="A14" s="1412" t="s">
        <v>222</v>
      </c>
      <c r="B14" s="1426"/>
      <c r="C14" s="217"/>
      <c r="D14" s="217"/>
      <c r="E14" s="217"/>
      <c r="F14" s="217"/>
    </row>
    <row r="15" spans="1:6" s="88" customFormat="1" ht="24" customHeight="1" x14ac:dyDescent="0.3">
      <c r="A15" s="1314"/>
      <c r="B15" s="1422" t="s">
        <v>200</v>
      </c>
      <c r="C15" s="262">
        <v>274091</v>
      </c>
      <c r="D15" s="262">
        <v>363931</v>
      </c>
      <c r="E15" s="262">
        <v>363931</v>
      </c>
      <c r="F15" s="272">
        <f t="shared" si="1"/>
        <v>100</v>
      </c>
    </row>
    <row r="16" spans="1:6" s="88" customFormat="1" ht="24" customHeight="1" x14ac:dyDescent="0.3">
      <c r="A16" s="1314"/>
      <c r="B16" s="1422" t="s">
        <v>502</v>
      </c>
      <c r="C16" s="262">
        <v>15400</v>
      </c>
      <c r="D16" s="262">
        <v>15400</v>
      </c>
      <c r="E16" s="262">
        <v>15400</v>
      </c>
      <c r="F16" s="272">
        <f t="shared" si="1"/>
        <v>100</v>
      </c>
    </row>
    <row r="17" spans="1:6" s="88" customFormat="1" ht="24" customHeight="1" x14ac:dyDescent="0.3">
      <c r="A17" s="1314"/>
      <c r="B17" s="1422" t="s">
        <v>489</v>
      </c>
      <c r="C17" s="262"/>
      <c r="D17" s="262">
        <v>33600</v>
      </c>
      <c r="E17" s="262">
        <v>33600</v>
      </c>
      <c r="F17" s="272">
        <f t="shared" si="1"/>
        <v>100</v>
      </c>
    </row>
    <row r="18" spans="1:6" s="88" customFormat="1" ht="24" customHeight="1" thickBot="1" x14ac:dyDescent="0.35">
      <c r="A18" s="1314"/>
      <c r="B18" s="1422" t="s">
        <v>446</v>
      </c>
      <c r="C18" s="262"/>
      <c r="D18" s="262">
        <v>1000</v>
      </c>
      <c r="E18" s="262">
        <v>1000</v>
      </c>
      <c r="F18" s="272">
        <f t="shared" si="1"/>
        <v>100</v>
      </c>
    </row>
    <row r="19" spans="1:6" s="88" customFormat="1" ht="26.25" customHeight="1" thickBot="1" x14ac:dyDescent="0.35">
      <c r="A19" s="1427" t="s">
        <v>223</v>
      </c>
      <c r="B19" s="1428"/>
      <c r="C19" s="279">
        <f>SUM(C15:C18)</f>
        <v>289491</v>
      </c>
      <c r="D19" s="279">
        <f>SUM(D15:D18)</f>
        <v>413931</v>
      </c>
      <c r="E19" s="279">
        <f>SUM(E15:E18)</f>
        <v>413931</v>
      </c>
      <c r="F19" s="280">
        <f>+E19/D19*100</f>
        <v>100</v>
      </c>
    </row>
    <row r="20" spans="1:6" s="88" customFormat="1" ht="30.75" customHeight="1" x14ac:dyDescent="0.3">
      <c r="A20" s="1429" t="s">
        <v>226</v>
      </c>
      <c r="B20" s="1300"/>
      <c r="C20" s="281"/>
      <c r="D20" s="281"/>
      <c r="E20" s="281"/>
      <c r="F20" s="281"/>
    </row>
    <row r="21" spans="1:6" s="88" customFormat="1" ht="33.75" customHeight="1" x14ac:dyDescent="0.3">
      <c r="A21" s="1429"/>
      <c r="B21" s="1430" t="s">
        <v>71</v>
      </c>
      <c r="C21" s="355"/>
      <c r="D21" s="355"/>
      <c r="E21" s="355"/>
      <c r="F21" s="355"/>
    </row>
    <row r="22" spans="1:6" s="88" customFormat="1" ht="24" customHeight="1" x14ac:dyDescent="0.3">
      <c r="A22" s="1314"/>
      <c r="B22" s="1422" t="s">
        <v>194</v>
      </c>
      <c r="C22" s="262">
        <v>10000</v>
      </c>
      <c r="D22" s="262">
        <v>11449</v>
      </c>
      <c r="E22" s="262">
        <v>11449</v>
      </c>
      <c r="F22" s="272">
        <f t="shared" ref="F22:F25" si="2">+E22/D22*100</f>
        <v>100</v>
      </c>
    </row>
    <row r="23" spans="1:6" s="88" customFormat="1" ht="24" customHeight="1" x14ac:dyDescent="0.3">
      <c r="A23" s="1314"/>
      <c r="B23" s="1422" t="s">
        <v>35</v>
      </c>
      <c r="C23" s="262"/>
      <c r="D23" s="262">
        <v>2037</v>
      </c>
      <c r="E23" s="262">
        <v>2037</v>
      </c>
      <c r="F23" s="272">
        <f t="shared" si="2"/>
        <v>100</v>
      </c>
    </row>
    <row r="24" spans="1:6" s="88" customFormat="1" ht="25.5" customHeight="1" x14ac:dyDescent="0.3">
      <c r="A24" s="1314"/>
      <c r="B24" s="1431" t="s">
        <v>101</v>
      </c>
      <c r="C24" s="277"/>
      <c r="D24" s="277"/>
      <c r="E24" s="277"/>
      <c r="F24" s="278"/>
    </row>
    <row r="25" spans="1:6" s="88" customFormat="1" ht="24" customHeight="1" x14ac:dyDescent="0.3">
      <c r="A25" s="1314"/>
      <c r="B25" s="1422" t="s">
        <v>360</v>
      </c>
      <c r="C25" s="262"/>
      <c r="D25" s="262">
        <v>103863</v>
      </c>
      <c r="E25" s="262">
        <v>11624</v>
      </c>
      <c r="F25" s="272">
        <f t="shared" si="2"/>
        <v>11.191665944561587</v>
      </c>
    </row>
    <row r="26" spans="1:6" s="88" customFormat="1" ht="28.5" customHeight="1" x14ac:dyDescent="0.3">
      <c r="A26" s="1978" t="s">
        <v>0</v>
      </c>
      <c r="B26" s="1979"/>
      <c r="C26" s="275">
        <f>SUM(C22:C25)</f>
        <v>10000</v>
      </c>
      <c r="D26" s="275">
        <f>SUM(D22:D25)</f>
        <v>117349</v>
      </c>
      <c r="E26" s="275">
        <f>SUM(E22:E25)</f>
        <v>25110</v>
      </c>
      <c r="F26" s="282">
        <f>+E26/D26*100</f>
        <v>21.397711101074574</v>
      </c>
    </row>
    <row r="27" spans="1:6" s="88" customFormat="1" ht="27" customHeight="1" x14ac:dyDescent="0.3">
      <c r="A27" s="424" t="s">
        <v>217</v>
      </c>
      <c r="B27" s="1432"/>
      <c r="C27" s="281"/>
      <c r="D27" s="281"/>
      <c r="E27" s="281"/>
      <c r="F27" s="281"/>
    </row>
    <row r="28" spans="1:6" s="88" customFormat="1" ht="24" customHeight="1" x14ac:dyDescent="0.3">
      <c r="A28" s="1314"/>
      <c r="B28" s="1422" t="s">
        <v>68</v>
      </c>
      <c r="C28" s="262"/>
      <c r="D28" s="262"/>
      <c r="E28" s="262"/>
      <c r="F28" s="272"/>
    </row>
    <row r="29" spans="1:6" s="88" customFormat="1" ht="24" customHeight="1" x14ac:dyDescent="0.3">
      <c r="A29" s="1314"/>
      <c r="B29" s="1422" t="s">
        <v>277</v>
      </c>
      <c r="C29" s="262"/>
      <c r="D29" s="262">
        <v>160</v>
      </c>
      <c r="E29" s="262">
        <v>160</v>
      </c>
      <c r="F29" s="272">
        <f t="shared" ref="F29:F32" si="3">+E29/D29*100</f>
        <v>100</v>
      </c>
    </row>
    <row r="30" spans="1:6" s="88" customFormat="1" ht="24" customHeight="1" x14ac:dyDescent="0.3">
      <c r="A30" s="1314"/>
      <c r="B30" s="1422" t="s">
        <v>195</v>
      </c>
      <c r="C30" s="262"/>
      <c r="D30" s="262"/>
      <c r="E30" s="262"/>
      <c r="F30" s="272"/>
    </row>
    <row r="31" spans="1:6" s="88" customFormat="1" ht="24" customHeight="1" x14ac:dyDescent="0.3">
      <c r="A31" s="1314"/>
      <c r="B31" s="1422" t="s">
        <v>1202</v>
      </c>
      <c r="C31" s="262"/>
      <c r="D31" s="262">
        <v>43280</v>
      </c>
      <c r="E31" s="262">
        <v>43280</v>
      </c>
      <c r="F31" s="272">
        <f t="shared" si="3"/>
        <v>100</v>
      </c>
    </row>
    <row r="32" spans="1:6" s="88" customFormat="1" ht="24" customHeight="1" x14ac:dyDescent="0.3">
      <c r="A32" s="1314"/>
      <c r="B32" s="1422" t="s">
        <v>218</v>
      </c>
      <c r="C32" s="262"/>
      <c r="D32" s="262">
        <v>6826</v>
      </c>
      <c r="E32" s="262">
        <v>6826</v>
      </c>
      <c r="F32" s="272">
        <f t="shared" si="3"/>
        <v>100</v>
      </c>
    </row>
    <row r="33" spans="1:6" s="88" customFormat="1" ht="24" customHeight="1" x14ac:dyDescent="0.3">
      <c r="A33" s="1314"/>
      <c r="B33" s="1422" t="s">
        <v>219</v>
      </c>
      <c r="C33" s="262"/>
      <c r="D33" s="262"/>
      <c r="E33" s="262"/>
      <c r="F33" s="272"/>
    </row>
    <row r="34" spans="1:6" s="88" customFormat="1" ht="24" customHeight="1" x14ac:dyDescent="0.3">
      <c r="A34" s="1314"/>
      <c r="B34" s="1422" t="s">
        <v>41</v>
      </c>
      <c r="C34" s="262"/>
      <c r="D34" s="262"/>
      <c r="E34" s="262"/>
      <c r="F34" s="272"/>
    </row>
    <row r="35" spans="1:6" s="88" customFormat="1" ht="24" customHeight="1" x14ac:dyDescent="0.3">
      <c r="A35" s="1314"/>
      <c r="B35" s="1422" t="s">
        <v>574</v>
      </c>
      <c r="C35" s="262">
        <v>250</v>
      </c>
      <c r="D35" s="262">
        <v>272</v>
      </c>
      <c r="E35" s="262">
        <v>272</v>
      </c>
      <c r="F35" s="272">
        <f>+E35/D35*100</f>
        <v>100</v>
      </c>
    </row>
    <row r="36" spans="1:6" s="88" customFormat="1" ht="24" customHeight="1" x14ac:dyDescent="0.3">
      <c r="A36" s="1314"/>
      <c r="B36" s="1422" t="s">
        <v>59</v>
      </c>
      <c r="C36" s="262"/>
      <c r="D36" s="262"/>
      <c r="E36" s="262"/>
      <c r="F36" s="272"/>
    </row>
    <row r="37" spans="1:6" s="88" customFormat="1" ht="24" customHeight="1" x14ac:dyDescent="0.3">
      <c r="A37" s="1314"/>
      <c r="B37" s="1422" t="s">
        <v>60</v>
      </c>
      <c r="C37" s="262"/>
      <c r="D37" s="262"/>
      <c r="E37" s="262"/>
      <c r="F37" s="272"/>
    </row>
    <row r="38" spans="1:6" s="88" customFormat="1" ht="24" customHeight="1" x14ac:dyDescent="0.3">
      <c r="A38" s="1314"/>
      <c r="B38" s="1422" t="s">
        <v>54</v>
      </c>
      <c r="C38" s="262"/>
      <c r="D38" s="262"/>
      <c r="E38" s="262"/>
      <c r="F38" s="272"/>
    </row>
    <row r="39" spans="1:6" s="88" customFormat="1" ht="24" customHeight="1" x14ac:dyDescent="0.3">
      <c r="A39" s="1314"/>
      <c r="B39" s="1422" t="s">
        <v>40</v>
      </c>
      <c r="C39" s="262"/>
      <c r="D39" s="262">
        <v>1653</v>
      </c>
      <c r="E39" s="262">
        <v>1653</v>
      </c>
      <c r="F39" s="272">
        <f>+E39/D39*100</f>
        <v>100</v>
      </c>
    </row>
    <row r="40" spans="1:6" s="88" customFormat="1" ht="30.75" customHeight="1" x14ac:dyDescent="0.3">
      <c r="A40" s="1978" t="s">
        <v>85</v>
      </c>
      <c r="B40" s="1979"/>
      <c r="C40" s="275">
        <f>SUM(C28:C39)</f>
        <v>250</v>
      </c>
      <c r="D40" s="275">
        <f>SUM(D28:D39)</f>
        <v>52191</v>
      </c>
      <c r="E40" s="275">
        <f>SUM(E28:E39)</f>
        <v>52191</v>
      </c>
      <c r="F40" s="282">
        <f>+E40/D40*100</f>
        <v>100</v>
      </c>
    </row>
    <row r="41" spans="1:6" s="88" customFormat="1" ht="28.5" customHeight="1" thickBot="1" x14ac:dyDescent="0.35">
      <c r="A41" s="1982" t="s">
        <v>267</v>
      </c>
      <c r="B41" s="1983"/>
      <c r="C41" s="283">
        <f>+C13+C19+C26+C40</f>
        <v>299741</v>
      </c>
      <c r="D41" s="283">
        <f>+D13+D19+D26+D40</f>
        <v>1152342</v>
      </c>
      <c r="E41" s="283">
        <f>+E13+E19+E26+E40</f>
        <v>1060103</v>
      </c>
      <c r="F41" s="220">
        <f>+E41/D41*100</f>
        <v>91.995518691499569</v>
      </c>
    </row>
    <row r="44" spans="1:6" x14ac:dyDescent="0.2">
      <c r="E44" s="9"/>
    </row>
    <row r="45" spans="1:6" x14ac:dyDescent="0.2">
      <c r="E45" s="9"/>
    </row>
    <row r="47" spans="1:6" x14ac:dyDescent="0.2">
      <c r="E47" s="9"/>
    </row>
    <row r="48" spans="1:6" x14ac:dyDescent="0.2">
      <c r="E48" s="9"/>
    </row>
    <row r="49" spans="2:6" x14ac:dyDescent="0.2">
      <c r="E49" s="9"/>
    </row>
    <row r="50" spans="2:6" x14ac:dyDescent="0.2">
      <c r="E50" s="9"/>
    </row>
    <row r="51" spans="2:6" x14ac:dyDescent="0.2">
      <c r="E51" s="9"/>
    </row>
    <row r="52" spans="2:6" x14ac:dyDescent="0.2">
      <c r="E52" s="9"/>
    </row>
    <row r="53" spans="2:6" x14ac:dyDescent="0.2">
      <c r="E53" s="9"/>
    </row>
    <row r="59" spans="2:6" ht="15.75" x14ac:dyDescent="0.25">
      <c r="B59" s="1980"/>
      <c r="C59" s="1980"/>
      <c r="D59" s="1980"/>
    </row>
    <row r="60" spans="2:6" ht="15.75" x14ac:dyDescent="0.25">
      <c r="C60" s="17"/>
      <c r="D60" s="18"/>
    </row>
    <row r="61" spans="2:6" ht="15.75" x14ac:dyDescent="0.25">
      <c r="C61" s="20"/>
      <c r="D61" s="1981"/>
      <c r="E61" s="1981"/>
      <c r="F61" s="13"/>
    </row>
    <row r="62" spans="2:6" ht="15.75" x14ac:dyDescent="0.25">
      <c r="C62" s="19"/>
      <c r="D62" s="6"/>
      <c r="E62" s="6"/>
      <c r="F62" s="13"/>
    </row>
    <row r="63" spans="2:6" ht="15.75" x14ac:dyDescent="0.25">
      <c r="B63" s="30"/>
      <c r="C63" s="19"/>
      <c r="D63" s="24"/>
      <c r="E63" s="24"/>
      <c r="F63" s="24"/>
    </row>
    <row r="64" spans="2:6" x14ac:dyDescent="0.2">
      <c r="B64" s="31"/>
      <c r="C64" s="28"/>
      <c r="D64" s="32"/>
      <c r="E64" s="32"/>
      <c r="F64" s="32"/>
    </row>
    <row r="65" spans="2:6" x14ac:dyDescent="0.2">
      <c r="B65" s="9"/>
      <c r="C65" s="27"/>
      <c r="D65" s="33"/>
      <c r="E65" s="33"/>
      <c r="F65" s="33"/>
    </row>
    <row r="66" spans="2:6" x14ac:dyDescent="0.2">
      <c r="B66" s="9"/>
      <c r="C66" s="27"/>
      <c r="D66" s="33"/>
      <c r="E66" s="33"/>
      <c r="F66" s="33"/>
    </row>
    <row r="67" spans="2:6" x14ac:dyDescent="0.2">
      <c r="B67" s="9"/>
      <c r="C67" s="27"/>
      <c r="D67" s="33"/>
      <c r="E67" s="33"/>
      <c r="F67" s="33"/>
    </row>
  </sheetData>
  <mergeCells count="7">
    <mergeCell ref="A1:F1"/>
    <mergeCell ref="A26:B26"/>
    <mergeCell ref="C3:D3"/>
    <mergeCell ref="B59:D59"/>
    <mergeCell ref="D61:E61"/>
    <mergeCell ref="A40:B40"/>
    <mergeCell ref="A41:B41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65" orientation="portrait" r:id="rId1"/>
  <headerFooter alignWithMargins="0">
    <oddHeader>&amp;R&amp;"Calibri,Félkövér"&amp;14 &amp;12 17. melléklet a .../2025. (........) önkormányzati rendelethez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18"/>
  <sheetViews>
    <sheetView zoomScaleNormal="100" workbookViewId="0">
      <selection activeCell="I30" sqref="I30"/>
    </sheetView>
  </sheetViews>
  <sheetFormatPr defaultColWidth="10.6640625" defaultRowHeight="15" customHeight="1" x14ac:dyDescent="0.2"/>
  <cols>
    <col min="1" max="1" width="5.6640625" style="8" customWidth="1"/>
    <col min="2" max="2" width="102.6640625" style="8" customWidth="1"/>
    <col min="3" max="3" width="18.83203125" style="8" customWidth="1"/>
    <col min="4" max="5" width="18.83203125" style="9" customWidth="1"/>
    <col min="6" max="6" width="18.83203125" style="8" customWidth="1"/>
    <col min="7" max="7" width="16.5" style="8" customWidth="1"/>
    <col min="8" max="8" width="16" style="8" customWidth="1"/>
    <col min="9" max="9" width="10.6640625" style="8"/>
    <col min="10" max="10" width="15.6640625" style="8" bestFit="1" customWidth="1"/>
    <col min="11" max="11" width="24.33203125" style="8" customWidth="1"/>
    <col min="12" max="12" width="15.6640625" style="8" bestFit="1" customWidth="1"/>
    <col min="13" max="16384" width="10.6640625" style="8"/>
  </cols>
  <sheetData>
    <row r="1" spans="1:8" s="88" customFormat="1" ht="24" customHeight="1" x14ac:dyDescent="0.25">
      <c r="A1" s="1984"/>
      <c r="B1" s="1984"/>
      <c r="C1" s="1984"/>
      <c r="D1" s="1984"/>
      <c r="E1" s="1984"/>
      <c r="F1" s="1984"/>
    </row>
    <row r="2" spans="1:8" s="88" customFormat="1" ht="24" customHeight="1" x14ac:dyDescent="0.3">
      <c r="A2" s="1987" t="s">
        <v>205</v>
      </c>
      <c r="B2" s="1987"/>
      <c r="C2" s="1987"/>
      <c r="D2" s="1987"/>
      <c r="E2" s="1987"/>
      <c r="F2" s="1987"/>
    </row>
    <row r="3" spans="1:8" s="88" customFormat="1" ht="24.75" customHeight="1" thickBot="1" x14ac:dyDescent="0.3">
      <c r="A3" s="88" t="s">
        <v>51</v>
      </c>
      <c r="B3" s="100"/>
      <c r="D3" s="97"/>
      <c r="E3" s="97"/>
      <c r="F3" s="101" t="s">
        <v>14</v>
      </c>
    </row>
    <row r="4" spans="1:8" s="88" customFormat="1" ht="26.1" customHeight="1" x14ac:dyDescent="0.3">
      <c r="A4" s="1985" t="s">
        <v>28</v>
      </c>
      <c r="B4" s="1986"/>
      <c r="C4" s="1962" t="s">
        <v>496</v>
      </c>
      <c r="D4" s="1962"/>
      <c r="E4" s="113" t="s">
        <v>272</v>
      </c>
      <c r="F4" s="227" t="s">
        <v>83</v>
      </c>
    </row>
    <row r="5" spans="1:8" s="88" customFormat="1" ht="22.5" customHeight="1" thickBot="1" x14ac:dyDescent="0.35">
      <c r="A5" s="102"/>
      <c r="B5" s="99"/>
      <c r="C5" s="198" t="s">
        <v>169</v>
      </c>
      <c r="D5" s="198" t="s">
        <v>81</v>
      </c>
      <c r="E5" s="199" t="s">
        <v>82</v>
      </c>
      <c r="F5" s="200" t="s">
        <v>84</v>
      </c>
    </row>
    <row r="6" spans="1:8" s="88" customFormat="1" ht="26.1" customHeight="1" x14ac:dyDescent="0.3">
      <c r="A6" s="1307" t="s">
        <v>154</v>
      </c>
      <c r="B6" s="1308" t="s">
        <v>74</v>
      </c>
      <c r="C6" s="406"/>
      <c r="D6" s="407"/>
      <c r="E6" s="407"/>
      <c r="F6" s="804"/>
    </row>
    <row r="7" spans="1:8" s="88" customFormat="1" ht="31.5" customHeight="1" x14ac:dyDescent="0.3">
      <c r="A7" s="1314"/>
      <c r="B7" s="1535" t="s">
        <v>411</v>
      </c>
      <c r="C7" s="295"/>
      <c r="D7" s="295">
        <v>8729</v>
      </c>
      <c r="E7" s="408">
        <v>8729</v>
      </c>
      <c r="F7" s="411">
        <f t="shared" ref="F7:F13" si="0">+E7/D7*100</f>
        <v>100</v>
      </c>
      <c r="G7" s="97"/>
      <c r="H7" s="97"/>
    </row>
    <row r="8" spans="1:8" s="88" customFormat="1" ht="39.75" customHeight="1" x14ac:dyDescent="0.3">
      <c r="A8" s="1314"/>
      <c r="B8" s="1388" t="s">
        <v>526</v>
      </c>
      <c r="C8" s="286"/>
      <c r="D8" s="286">
        <v>3783</v>
      </c>
      <c r="E8" s="314">
        <v>3783</v>
      </c>
      <c r="F8" s="309">
        <f t="shared" si="0"/>
        <v>100</v>
      </c>
      <c r="G8" s="97"/>
      <c r="H8" s="97"/>
    </row>
    <row r="9" spans="1:8" s="88" customFormat="1" ht="39.75" customHeight="1" x14ac:dyDescent="0.3">
      <c r="A9" s="1314"/>
      <c r="B9" s="1388" t="s">
        <v>527</v>
      </c>
      <c r="C9" s="286"/>
      <c r="D9" s="286">
        <v>4000</v>
      </c>
      <c r="E9" s="314">
        <v>4000</v>
      </c>
      <c r="F9" s="309">
        <f t="shared" si="0"/>
        <v>100</v>
      </c>
      <c r="G9" s="97"/>
      <c r="H9" s="97"/>
    </row>
    <row r="10" spans="1:8" s="88" customFormat="1" ht="24" customHeight="1" x14ac:dyDescent="0.3">
      <c r="A10" s="1314"/>
      <c r="B10" s="1535" t="s">
        <v>576</v>
      </c>
      <c r="C10" s="295"/>
      <c r="D10" s="295">
        <v>21345</v>
      </c>
      <c r="E10" s="408">
        <v>21344</v>
      </c>
      <c r="F10" s="411">
        <f t="shared" si="0"/>
        <v>99.995315062075434</v>
      </c>
      <c r="G10" s="97"/>
      <c r="H10" s="97"/>
    </row>
    <row r="11" spans="1:8" s="88" customFormat="1" ht="24" customHeight="1" x14ac:dyDescent="0.3">
      <c r="A11" s="1314"/>
      <c r="B11" s="1535" t="s">
        <v>554</v>
      </c>
      <c r="C11" s="295"/>
      <c r="D11" s="295">
        <v>18411</v>
      </c>
      <c r="E11" s="408">
        <v>16306</v>
      </c>
      <c r="F11" s="411">
        <f t="shared" si="0"/>
        <v>88.566617782847217</v>
      </c>
      <c r="G11" s="97"/>
      <c r="H11" s="97"/>
    </row>
    <row r="12" spans="1:8" s="88" customFormat="1" ht="24" customHeight="1" x14ac:dyDescent="0.3">
      <c r="A12" s="1314"/>
      <c r="B12" s="1535" t="s">
        <v>490</v>
      </c>
      <c r="C12" s="295"/>
      <c r="D12" s="295">
        <v>81755</v>
      </c>
      <c r="E12" s="408"/>
      <c r="F12" s="411">
        <f>+E12/D12*100</f>
        <v>0</v>
      </c>
      <c r="G12" s="97"/>
      <c r="H12" s="97"/>
    </row>
    <row r="13" spans="1:8" s="88" customFormat="1" ht="23.25" customHeight="1" x14ac:dyDescent="0.3">
      <c r="A13" s="1536"/>
      <c r="B13" s="1537" t="s">
        <v>159</v>
      </c>
      <c r="C13" s="288">
        <f>SUM(C7:C10)</f>
        <v>0</v>
      </c>
      <c r="D13" s="288">
        <f>SUM(D7:D12)</f>
        <v>138023</v>
      </c>
      <c r="E13" s="288">
        <f>SUM(E7:E12)</f>
        <v>54162</v>
      </c>
      <c r="F13" s="348">
        <f t="shared" si="0"/>
        <v>39.241285872644418</v>
      </c>
      <c r="G13" s="97"/>
      <c r="H13" s="97"/>
    </row>
    <row r="14" spans="1:8" s="88" customFormat="1" ht="24" customHeight="1" x14ac:dyDescent="0.3">
      <c r="A14" s="1538" t="s">
        <v>32</v>
      </c>
      <c r="B14" s="1539" t="s">
        <v>31</v>
      </c>
      <c r="C14" s="409"/>
      <c r="D14" s="409"/>
      <c r="E14" s="409"/>
      <c r="F14" s="410"/>
      <c r="G14" s="97"/>
      <c r="H14" s="97"/>
    </row>
    <row r="15" spans="1:8" s="88" customFormat="1" ht="24" customHeight="1" x14ac:dyDescent="0.3">
      <c r="A15" s="1314"/>
      <c r="B15" s="1535" t="s">
        <v>257</v>
      </c>
      <c r="C15" s="295"/>
      <c r="D15" s="295"/>
      <c r="E15" s="408"/>
      <c r="F15" s="411"/>
      <c r="G15" s="97"/>
      <c r="H15" s="97"/>
    </row>
    <row r="16" spans="1:8" s="88" customFormat="1" ht="24" customHeight="1" x14ac:dyDescent="0.3">
      <c r="A16" s="1314"/>
      <c r="B16" s="1535" t="s">
        <v>386</v>
      </c>
      <c r="C16" s="295"/>
      <c r="D16" s="295"/>
      <c r="E16" s="408"/>
      <c r="F16" s="411"/>
      <c r="G16" s="97"/>
      <c r="H16" s="97"/>
    </row>
    <row r="17" spans="1:8" s="88" customFormat="1" ht="24" customHeight="1" x14ac:dyDescent="0.3">
      <c r="A17" s="1536"/>
      <c r="B17" s="1537" t="s">
        <v>123</v>
      </c>
      <c r="C17" s="288">
        <f t="shared" ref="C17:D17" si="1">SUM(C15:C16)</f>
        <v>0</v>
      </c>
      <c r="D17" s="288">
        <f t="shared" si="1"/>
        <v>0</v>
      </c>
      <c r="E17" s="288">
        <f>SUM(E15:E16)</f>
        <v>0</v>
      </c>
      <c r="F17" s="308"/>
      <c r="G17" s="97"/>
      <c r="H17" s="97"/>
    </row>
    <row r="18" spans="1:8" s="88" customFormat="1" ht="23.25" customHeight="1" x14ac:dyDescent="0.3">
      <c r="A18" s="1538" t="s">
        <v>155</v>
      </c>
      <c r="B18" s="1539" t="s">
        <v>153</v>
      </c>
      <c r="C18" s="284"/>
      <c r="D18" s="285"/>
      <c r="E18" s="285"/>
      <c r="F18" s="412"/>
      <c r="G18" s="97"/>
      <c r="H18" s="97"/>
    </row>
    <row r="19" spans="1:8" s="88" customFormat="1" ht="24" customHeight="1" x14ac:dyDescent="0.3">
      <c r="A19" s="1314"/>
      <c r="B19" s="1535" t="s">
        <v>124</v>
      </c>
      <c r="C19" s="295"/>
      <c r="D19" s="295"/>
      <c r="E19" s="408"/>
      <c r="F19" s="411"/>
      <c r="G19" s="97"/>
      <c r="H19" s="97"/>
    </row>
    <row r="20" spans="1:8" s="88" customFormat="1" ht="24" customHeight="1" x14ac:dyDescent="0.3">
      <c r="A20" s="1314"/>
      <c r="B20" s="1535" t="s">
        <v>434</v>
      </c>
      <c r="C20" s="295"/>
      <c r="D20" s="295"/>
      <c r="E20" s="408"/>
      <c r="F20" s="411"/>
      <c r="G20" s="97"/>
      <c r="H20" s="97"/>
    </row>
    <row r="21" spans="1:8" s="88" customFormat="1" ht="24.75" customHeight="1" x14ac:dyDescent="0.3">
      <c r="A21" s="1536"/>
      <c r="B21" s="1537" t="s">
        <v>160</v>
      </c>
      <c r="C21" s="288">
        <f>SUM(C19:C20)</f>
        <v>0</v>
      </c>
      <c r="D21" s="288">
        <f>SUM(D19:D20)</f>
        <v>0</v>
      </c>
      <c r="E21" s="288">
        <f>SUM(E19:E20)</f>
        <v>0</v>
      </c>
      <c r="F21" s="348"/>
      <c r="G21" s="97"/>
      <c r="H21" s="97"/>
    </row>
    <row r="22" spans="1:8" s="88" customFormat="1" ht="24" customHeight="1" x14ac:dyDescent="0.3">
      <c r="A22" s="1540" t="s">
        <v>156</v>
      </c>
      <c r="B22" s="1541" t="s">
        <v>157</v>
      </c>
      <c r="C22" s="284"/>
      <c r="D22" s="285"/>
      <c r="E22" s="285"/>
      <c r="F22" s="349"/>
      <c r="G22" s="97"/>
      <c r="H22" s="97"/>
    </row>
    <row r="23" spans="1:8" s="88" customFormat="1" ht="24" customHeight="1" x14ac:dyDescent="0.3">
      <c r="A23" s="1314"/>
      <c r="B23" s="1535" t="s">
        <v>114</v>
      </c>
      <c r="C23" s="295"/>
      <c r="D23" s="295">
        <v>108283</v>
      </c>
      <c r="E23" s="408">
        <v>108283</v>
      </c>
      <c r="F23" s="411">
        <f t="shared" ref="F23:F24" si="2">+E23/D23*100</f>
        <v>100</v>
      </c>
      <c r="G23" s="97"/>
      <c r="H23" s="97"/>
    </row>
    <row r="24" spans="1:8" s="88" customFormat="1" ht="24" customHeight="1" x14ac:dyDescent="0.3">
      <c r="A24" s="1314"/>
      <c r="B24" s="1535" t="s">
        <v>518</v>
      </c>
      <c r="C24" s="295">
        <v>15400</v>
      </c>
      <c r="D24" s="295">
        <v>15400</v>
      </c>
      <c r="E24" s="408">
        <v>15400</v>
      </c>
      <c r="F24" s="411">
        <f t="shared" si="2"/>
        <v>100</v>
      </c>
      <c r="G24" s="97"/>
      <c r="H24" s="97"/>
    </row>
    <row r="25" spans="1:8" s="88" customFormat="1" ht="19.5" customHeight="1" x14ac:dyDescent="0.3">
      <c r="A25" s="1536"/>
      <c r="B25" s="1542" t="s">
        <v>161</v>
      </c>
      <c r="C25" s="288">
        <f>SUM(C23:C24)</f>
        <v>15400</v>
      </c>
      <c r="D25" s="288">
        <f>SUM(D23:D24)</f>
        <v>123683</v>
      </c>
      <c r="E25" s="288">
        <f>SUM(E23:E24)</f>
        <v>123683</v>
      </c>
      <c r="F25" s="348">
        <f t="shared" ref="F25" si="3">+E25/D25*100</f>
        <v>100</v>
      </c>
      <c r="G25" s="97"/>
      <c r="H25" s="97"/>
    </row>
    <row r="26" spans="1:8" s="88" customFormat="1" ht="24" customHeight="1" x14ac:dyDescent="0.3">
      <c r="A26" s="1540" t="s">
        <v>158</v>
      </c>
      <c r="B26" s="1541" t="s">
        <v>162</v>
      </c>
      <c r="C26" s="284"/>
      <c r="D26" s="285"/>
      <c r="E26" s="285"/>
      <c r="F26" s="412"/>
      <c r="G26" s="97"/>
      <c r="H26" s="97"/>
    </row>
    <row r="27" spans="1:8" s="88" customFormat="1" ht="26.25" customHeight="1" x14ac:dyDescent="0.3">
      <c r="A27" s="1543" t="s">
        <v>151</v>
      </c>
      <c r="B27" s="1544"/>
      <c r="C27" s="284"/>
      <c r="D27" s="285"/>
      <c r="E27" s="285"/>
      <c r="F27" s="349"/>
      <c r="G27" s="97"/>
      <c r="H27" s="97"/>
    </row>
    <row r="28" spans="1:8" s="88" customFormat="1" ht="24" customHeight="1" x14ac:dyDescent="0.3">
      <c r="A28" s="1314"/>
      <c r="B28" s="1535" t="s">
        <v>306</v>
      </c>
      <c r="C28" s="295"/>
      <c r="D28" s="295">
        <v>103019</v>
      </c>
      <c r="E28" s="408"/>
      <c r="F28" s="411">
        <f t="shared" ref="F28:F67" si="4">+E28/D28*100</f>
        <v>0</v>
      </c>
      <c r="G28" s="97"/>
      <c r="H28" s="97"/>
    </row>
    <row r="29" spans="1:8" s="88" customFormat="1" ht="24" customHeight="1" x14ac:dyDescent="0.3">
      <c r="A29" s="1314"/>
      <c r="B29" s="1535" t="s">
        <v>227</v>
      </c>
      <c r="C29" s="295"/>
      <c r="D29" s="295">
        <v>715232</v>
      </c>
      <c r="E29" s="408">
        <v>600839</v>
      </c>
      <c r="F29" s="411">
        <f t="shared" si="4"/>
        <v>84.006168627801898</v>
      </c>
      <c r="G29" s="97"/>
      <c r="H29" s="97"/>
    </row>
    <row r="30" spans="1:8" s="88" customFormat="1" ht="39.75" customHeight="1" x14ac:dyDescent="0.3">
      <c r="A30" s="1314"/>
      <c r="B30" s="1388" t="s">
        <v>542</v>
      </c>
      <c r="C30" s="286"/>
      <c r="D30" s="286">
        <v>500</v>
      </c>
      <c r="E30" s="314">
        <v>188</v>
      </c>
      <c r="F30" s="309">
        <f t="shared" si="4"/>
        <v>37.6</v>
      </c>
      <c r="G30" s="97"/>
      <c r="H30" s="97"/>
    </row>
    <row r="31" spans="1:8" s="88" customFormat="1" ht="19.5" customHeight="1" x14ac:dyDescent="0.3">
      <c r="A31" s="1543" t="s">
        <v>150</v>
      </c>
      <c r="B31" s="1546"/>
      <c r="C31" s="286"/>
      <c r="D31" s="286"/>
      <c r="E31" s="289"/>
      <c r="F31" s="309"/>
      <c r="G31" s="97"/>
      <c r="H31" s="97"/>
    </row>
    <row r="32" spans="1:8" s="88" customFormat="1" ht="24" customHeight="1" x14ac:dyDescent="0.3">
      <c r="A32" s="1314"/>
      <c r="B32" s="1535" t="s">
        <v>543</v>
      </c>
      <c r="C32" s="295"/>
      <c r="D32" s="295">
        <v>9990</v>
      </c>
      <c r="E32" s="408"/>
      <c r="F32" s="411">
        <f t="shared" ref="F32:F34" si="5">+E32/D32*100</f>
        <v>0</v>
      </c>
      <c r="G32" s="97"/>
      <c r="H32" s="97"/>
    </row>
    <row r="33" spans="1:8" s="88" customFormat="1" ht="24" customHeight="1" x14ac:dyDescent="0.3">
      <c r="A33" s="1314"/>
      <c r="B33" s="1535" t="s">
        <v>429</v>
      </c>
      <c r="C33" s="295"/>
      <c r="D33" s="295">
        <v>7239</v>
      </c>
      <c r="E33" s="408">
        <v>3048</v>
      </c>
      <c r="F33" s="411">
        <f t="shared" si="5"/>
        <v>42.105263157894733</v>
      </c>
      <c r="G33" s="97"/>
      <c r="H33" s="97"/>
    </row>
    <row r="34" spans="1:8" s="88" customFormat="1" ht="24" customHeight="1" x14ac:dyDescent="0.3">
      <c r="A34" s="1314"/>
      <c r="B34" s="1535" t="s">
        <v>435</v>
      </c>
      <c r="C34" s="295"/>
      <c r="D34" s="295">
        <v>18000</v>
      </c>
      <c r="E34" s="408"/>
      <c r="F34" s="411">
        <f t="shared" si="5"/>
        <v>0</v>
      </c>
      <c r="G34" s="97"/>
      <c r="H34" s="97"/>
    </row>
    <row r="35" spans="1:8" s="88" customFormat="1" ht="24" customHeight="1" x14ac:dyDescent="0.3">
      <c r="A35" s="1314"/>
      <c r="B35" s="1535" t="s">
        <v>408</v>
      </c>
      <c r="C35" s="295"/>
      <c r="D35" s="295">
        <v>910</v>
      </c>
      <c r="E35" s="408">
        <v>828</v>
      </c>
      <c r="F35" s="411">
        <f>+E35/D35*100</f>
        <v>90.989010989010993</v>
      </c>
      <c r="G35" s="97"/>
      <c r="H35" s="97"/>
    </row>
    <row r="36" spans="1:8" s="105" customFormat="1" ht="18.75" x14ac:dyDescent="0.3">
      <c r="A36" s="1547"/>
      <c r="B36" s="1548" t="s">
        <v>417</v>
      </c>
      <c r="C36" s="293"/>
      <c r="D36" s="293">
        <v>5516</v>
      </c>
      <c r="E36" s="294">
        <v>5516</v>
      </c>
      <c r="F36" s="309">
        <f t="shared" ref="F36:F40" si="6">+E36/D36*100</f>
        <v>100</v>
      </c>
      <c r="G36" s="97"/>
      <c r="H36" s="97"/>
    </row>
    <row r="37" spans="1:8" s="88" customFormat="1" ht="39.75" customHeight="1" x14ac:dyDescent="0.3">
      <c r="A37" s="1314"/>
      <c r="B37" s="1388" t="s">
        <v>436</v>
      </c>
      <c r="C37" s="286"/>
      <c r="D37" s="286">
        <v>1263</v>
      </c>
      <c r="E37" s="314"/>
      <c r="F37" s="309">
        <f t="shared" si="6"/>
        <v>0</v>
      </c>
      <c r="G37" s="97"/>
      <c r="H37" s="97"/>
    </row>
    <row r="38" spans="1:8" s="88" customFormat="1" ht="24" customHeight="1" x14ac:dyDescent="0.3">
      <c r="A38" s="1314"/>
      <c r="B38" s="1535" t="s">
        <v>528</v>
      </c>
      <c r="C38" s="295"/>
      <c r="D38" s="295">
        <v>1307</v>
      </c>
      <c r="E38" s="408">
        <v>1307</v>
      </c>
      <c r="F38" s="411">
        <f t="shared" si="6"/>
        <v>100</v>
      </c>
      <c r="G38" s="97"/>
      <c r="H38" s="97"/>
    </row>
    <row r="39" spans="1:8" s="88" customFormat="1" ht="24" customHeight="1" x14ac:dyDescent="0.3">
      <c r="A39" s="1314"/>
      <c r="B39" s="1535" t="s">
        <v>453</v>
      </c>
      <c r="C39" s="295">
        <v>400000</v>
      </c>
      <c r="D39" s="295">
        <v>389842</v>
      </c>
      <c r="E39" s="408">
        <v>388759</v>
      </c>
      <c r="F39" s="411">
        <f t="shared" si="6"/>
        <v>99.722195145725706</v>
      </c>
      <c r="G39" s="97"/>
      <c r="H39" s="97"/>
    </row>
    <row r="40" spans="1:8" s="88" customFormat="1" ht="24" customHeight="1" x14ac:dyDescent="0.3">
      <c r="A40" s="1314"/>
      <c r="B40" s="1535" t="s">
        <v>1129</v>
      </c>
      <c r="C40" s="295"/>
      <c r="D40" s="295">
        <v>10158</v>
      </c>
      <c r="E40" s="408"/>
      <c r="F40" s="411">
        <f t="shared" si="6"/>
        <v>0</v>
      </c>
      <c r="G40" s="97"/>
      <c r="H40" s="97"/>
    </row>
    <row r="41" spans="1:8" s="88" customFormat="1" ht="19.5" customHeight="1" x14ac:dyDescent="0.3">
      <c r="A41" s="1543" t="s">
        <v>152</v>
      </c>
      <c r="B41" s="1348"/>
      <c r="C41" s="295"/>
      <c r="D41" s="295"/>
      <c r="E41" s="291"/>
      <c r="F41" s="309"/>
      <c r="G41" s="97"/>
      <c r="H41" s="97"/>
    </row>
    <row r="42" spans="1:8" s="88" customFormat="1" ht="54.75" customHeight="1" x14ac:dyDescent="0.3">
      <c r="A42" s="1543"/>
      <c r="B42" s="1388" t="s">
        <v>544</v>
      </c>
      <c r="C42" s="295"/>
      <c r="D42" s="295">
        <v>35822</v>
      </c>
      <c r="E42" s="291">
        <v>10812</v>
      </c>
      <c r="F42" s="309">
        <f t="shared" ref="F42:F43" si="7">+E42/D42*100</f>
        <v>30.182569370777735</v>
      </c>
      <c r="G42" s="97"/>
      <c r="H42" s="97"/>
    </row>
    <row r="43" spans="1:8" s="88" customFormat="1" ht="24" customHeight="1" x14ac:dyDescent="0.3">
      <c r="A43" s="1314"/>
      <c r="B43" s="1535" t="s">
        <v>92</v>
      </c>
      <c r="C43" s="295"/>
      <c r="D43" s="295">
        <v>3425</v>
      </c>
      <c r="E43" s="408">
        <v>618</v>
      </c>
      <c r="F43" s="411">
        <f t="shared" si="7"/>
        <v>18.043795620437955</v>
      </c>
      <c r="G43" s="97"/>
      <c r="H43" s="97"/>
    </row>
    <row r="44" spans="1:8" s="88" customFormat="1" ht="24" customHeight="1" x14ac:dyDescent="0.3">
      <c r="A44" s="1314"/>
      <c r="B44" s="1535" t="s">
        <v>295</v>
      </c>
      <c r="C44" s="295"/>
      <c r="D44" s="295">
        <v>45</v>
      </c>
      <c r="E44" s="408"/>
      <c r="F44" s="411">
        <f t="shared" si="4"/>
        <v>0</v>
      </c>
      <c r="G44" s="97"/>
      <c r="H44" s="97"/>
    </row>
    <row r="45" spans="1:8" s="88" customFormat="1" ht="39.75" customHeight="1" x14ac:dyDescent="0.3">
      <c r="A45" s="1314"/>
      <c r="B45" s="1388" t="s">
        <v>307</v>
      </c>
      <c r="C45" s="286"/>
      <c r="D45" s="286">
        <v>691</v>
      </c>
      <c r="E45" s="314">
        <v>683</v>
      </c>
      <c r="F45" s="309">
        <f t="shared" si="4"/>
        <v>98.842257597684508</v>
      </c>
      <c r="G45" s="97"/>
      <c r="H45" s="97"/>
    </row>
    <row r="46" spans="1:8" s="88" customFormat="1" ht="24" customHeight="1" x14ac:dyDescent="0.3">
      <c r="A46" s="1314"/>
      <c r="B46" s="1535" t="s">
        <v>491</v>
      </c>
      <c r="C46" s="295"/>
      <c r="D46" s="295">
        <v>385</v>
      </c>
      <c r="E46" s="408"/>
      <c r="F46" s="411">
        <f t="shared" si="4"/>
        <v>0</v>
      </c>
      <c r="G46" s="97"/>
      <c r="H46" s="97"/>
    </row>
    <row r="47" spans="1:8" s="88" customFormat="1" ht="24" customHeight="1" x14ac:dyDescent="0.3">
      <c r="A47" s="1314"/>
      <c r="B47" s="1535" t="s">
        <v>296</v>
      </c>
      <c r="C47" s="295"/>
      <c r="D47" s="295">
        <v>3998</v>
      </c>
      <c r="E47" s="408"/>
      <c r="F47" s="411">
        <f t="shared" si="4"/>
        <v>0</v>
      </c>
      <c r="G47" s="97"/>
      <c r="H47" s="97"/>
    </row>
    <row r="48" spans="1:8" s="88" customFormat="1" ht="24" customHeight="1" x14ac:dyDescent="0.3">
      <c r="A48" s="1314"/>
      <c r="B48" s="1535" t="s">
        <v>359</v>
      </c>
      <c r="C48" s="295"/>
      <c r="D48" s="295">
        <v>18606</v>
      </c>
      <c r="E48" s="408">
        <v>18606</v>
      </c>
      <c r="F48" s="411">
        <f t="shared" si="4"/>
        <v>100</v>
      </c>
      <c r="G48" s="97"/>
      <c r="H48" s="97"/>
    </row>
    <row r="49" spans="1:8" s="88" customFormat="1" ht="39.75" customHeight="1" x14ac:dyDescent="0.3">
      <c r="A49" s="1314"/>
      <c r="B49" s="1388" t="s">
        <v>412</v>
      </c>
      <c r="C49" s="286"/>
      <c r="D49" s="286">
        <v>478694</v>
      </c>
      <c r="E49" s="314">
        <v>433913</v>
      </c>
      <c r="F49" s="309">
        <f t="shared" si="4"/>
        <v>90.645172072346853</v>
      </c>
      <c r="G49" s="97"/>
      <c r="H49" s="97"/>
    </row>
    <row r="50" spans="1:8" s="88" customFormat="1" ht="39.75" customHeight="1" x14ac:dyDescent="0.3">
      <c r="A50" s="1314"/>
      <c r="B50" s="1388" t="s">
        <v>447</v>
      </c>
      <c r="C50" s="286"/>
      <c r="D50" s="286">
        <v>80353</v>
      </c>
      <c r="E50" s="314"/>
      <c r="F50" s="309">
        <f t="shared" si="4"/>
        <v>0</v>
      </c>
      <c r="G50" s="97"/>
      <c r="H50" s="97"/>
    </row>
    <row r="51" spans="1:8" s="88" customFormat="1" ht="39.75" customHeight="1" x14ac:dyDescent="0.3">
      <c r="A51" s="1314"/>
      <c r="B51" s="1388" t="s">
        <v>439</v>
      </c>
      <c r="C51" s="286"/>
      <c r="D51" s="286">
        <v>1270</v>
      </c>
      <c r="E51" s="314">
        <v>1270</v>
      </c>
      <c r="F51" s="309">
        <f t="shared" si="4"/>
        <v>100</v>
      </c>
      <c r="G51" s="97"/>
      <c r="H51" s="97"/>
    </row>
    <row r="52" spans="1:8" s="88" customFormat="1" ht="19.5" customHeight="1" x14ac:dyDescent="0.3">
      <c r="A52" s="1412" t="s">
        <v>180</v>
      </c>
      <c r="B52" s="1545"/>
      <c r="C52" s="297"/>
      <c r="D52" s="297"/>
      <c r="E52" s="289"/>
      <c r="F52" s="309"/>
      <c r="G52" s="97"/>
      <c r="H52" s="97"/>
    </row>
    <row r="53" spans="1:8" s="88" customFormat="1" ht="24" customHeight="1" x14ac:dyDescent="0.3">
      <c r="A53" s="1314"/>
      <c r="B53" s="1535" t="s">
        <v>492</v>
      </c>
      <c r="C53" s="295">
        <v>5000</v>
      </c>
      <c r="D53" s="295">
        <v>18245</v>
      </c>
      <c r="E53" s="408">
        <v>10039</v>
      </c>
      <c r="F53" s="411">
        <f t="shared" si="4"/>
        <v>55.023294053165252</v>
      </c>
      <c r="G53" s="97"/>
      <c r="H53" s="97"/>
    </row>
    <row r="54" spans="1:8" s="88" customFormat="1" ht="19.5" customHeight="1" x14ac:dyDescent="0.3">
      <c r="A54" s="1412" t="s">
        <v>17</v>
      </c>
      <c r="B54" s="1315"/>
      <c r="C54" s="296"/>
      <c r="D54" s="296"/>
      <c r="E54" s="289"/>
      <c r="F54" s="309"/>
      <c r="G54" s="97"/>
      <c r="H54" s="97"/>
    </row>
    <row r="55" spans="1:8" s="88" customFormat="1" ht="24" customHeight="1" x14ac:dyDescent="0.3">
      <c r="A55" s="1314"/>
      <c r="B55" s="1535" t="s">
        <v>415</v>
      </c>
      <c r="C55" s="295">
        <v>3000</v>
      </c>
      <c r="D55" s="295">
        <v>3429</v>
      </c>
      <c r="E55" s="408">
        <v>3429</v>
      </c>
      <c r="F55" s="411">
        <f>+E55/D55*100</f>
        <v>100</v>
      </c>
      <c r="G55" s="97"/>
      <c r="H55" s="97"/>
    </row>
    <row r="56" spans="1:8" s="88" customFormat="1" ht="24" customHeight="1" x14ac:dyDescent="0.3">
      <c r="A56" s="1314"/>
      <c r="B56" s="1535" t="s">
        <v>387</v>
      </c>
      <c r="C56" s="295">
        <v>18000</v>
      </c>
      <c r="D56" s="295">
        <v>18725</v>
      </c>
      <c r="E56" s="408">
        <v>18719</v>
      </c>
      <c r="F56" s="411">
        <f t="shared" ref="F56:F58" si="8">+E56/D56*100</f>
        <v>99.967957276368494</v>
      </c>
      <c r="G56" s="97"/>
      <c r="H56" s="97"/>
    </row>
    <row r="57" spans="1:8" s="88" customFormat="1" ht="24" customHeight="1" x14ac:dyDescent="0.3">
      <c r="A57" s="1314"/>
      <c r="B57" s="1535" t="s">
        <v>519</v>
      </c>
      <c r="C57" s="295">
        <v>21000</v>
      </c>
      <c r="D57" s="295">
        <v>21017</v>
      </c>
      <c r="E57" s="408">
        <v>21016</v>
      </c>
      <c r="F57" s="411">
        <f t="shared" si="8"/>
        <v>99.995241946995293</v>
      </c>
      <c r="G57" s="97"/>
      <c r="H57" s="97"/>
    </row>
    <row r="58" spans="1:8" s="88" customFormat="1" ht="24" customHeight="1" x14ac:dyDescent="0.3">
      <c r="A58" s="1314"/>
      <c r="B58" s="1535" t="s">
        <v>520</v>
      </c>
      <c r="C58" s="295">
        <v>14896</v>
      </c>
      <c r="D58" s="295">
        <v>14986</v>
      </c>
      <c r="E58" s="408">
        <v>14986</v>
      </c>
      <c r="F58" s="411">
        <f t="shared" si="8"/>
        <v>100</v>
      </c>
      <c r="G58" s="97"/>
      <c r="H58" s="97"/>
    </row>
    <row r="59" spans="1:8" s="88" customFormat="1" ht="19.5" customHeight="1" x14ac:dyDescent="0.3">
      <c r="A59" s="1412" t="s">
        <v>33</v>
      </c>
      <c r="B59" s="1549"/>
      <c r="C59" s="290"/>
      <c r="D59" s="290"/>
      <c r="E59" s="296"/>
      <c r="F59" s="309"/>
      <c r="G59" s="97"/>
      <c r="H59" s="97"/>
    </row>
    <row r="60" spans="1:8" s="88" customFormat="1" ht="24" customHeight="1" x14ac:dyDescent="0.3">
      <c r="A60" s="1314"/>
      <c r="B60" s="1535" t="s">
        <v>340</v>
      </c>
      <c r="C60" s="295">
        <v>840765</v>
      </c>
      <c r="D60" s="295">
        <v>0</v>
      </c>
      <c r="E60" s="408"/>
      <c r="F60" s="411"/>
      <c r="G60" s="97"/>
      <c r="H60" s="97"/>
    </row>
    <row r="61" spans="1:8" s="88" customFormat="1" ht="39.75" customHeight="1" x14ac:dyDescent="0.3">
      <c r="A61" s="1314"/>
      <c r="B61" s="1388" t="s">
        <v>400</v>
      </c>
      <c r="C61" s="286"/>
      <c r="D61" s="286">
        <v>461738</v>
      </c>
      <c r="E61" s="314">
        <v>461656</v>
      </c>
      <c r="F61" s="309">
        <f>+E61/D61*100</f>
        <v>99.982241011136182</v>
      </c>
      <c r="G61" s="97"/>
      <c r="H61" s="97"/>
    </row>
    <row r="62" spans="1:8" s="88" customFormat="1" ht="39.75" customHeight="1" x14ac:dyDescent="0.3">
      <c r="A62" s="1314"/>
      <c r="B62" s="1388" t="s">
        <v>455</v>
      </c>
      <c r="C62" s="286"/>
      <c r="D62" s="286">
        <v>110899</v>
      </c>
      <c r="E62" s="314"/>
      <c r="F62" s="309">
        <f>+E62/D62*100</f>
        <v>0</v>
      </c>
      <c r="G62" s="97"/>
      <c r="H62" s="97"/>
    </row>
    <row r="63" spans="1:8" s="88" customFormat="1" ht="39.75" customHeight="1" x14ac:dyDescent="0.3">
      <c r="A63" s="1314"/>
      <c r="B63" s="1388" t="s">
        <v>456</v>
      </c>
      <c r="C63" s="286"/>
      <c r="D63" s="286">
        <v>16115</v>
      </c>
      <c r="E63" s="314">
        <v>2631</v>
      </c>
      <c r="F63" s="309">
        <f t="shared" si="4"/>
        <v>16.326403971455168</v>
      </c>
      <c r="G63" s="97"/>
      <c r="H63" s="97"/>
    </row>
    <row r="64" spans="1:8" s="88" customFormat="1" ht="24" customHeight="1" x14ac:dyDescent="0.3">
      <c r="A64" s="1314"/>
      <c r="B64" s="1535" t="s">
        <v>557</v>
      </c>
      <c r="C64" s="295">
        <v>30000</v>
      </c>
      <c r="D64" s="295">
        <v>35727</v>
      </c>
      <c r="E64" s="408">
        <v>23649</v>
      </c>
      <c r="F64" s="411">
        <f t="shared" si="4"/>
        <v>66.193635065916538</v>
      </c>
      <c r="G64" s="97"/>
      <c r="H64" s="97"/>
    </row>
    <row r="65" spans="1:12" s="88" customFormat="1" ht="24" customHeight="1" x14ac:dyDescent="0.3">
      <c r="A65" s="1314"/>
      <c r="B65" s="1535" t="s">
        <v>360</v>
      </c>
      <c r="C65" s="295"/>
      <c r="D65" s="295">
        <v>144903</v>
      </c>
      <c r="E65" s="408">
        <v>112715</v>
      </c>
      <c r="F65" s="411">
        <f t="shared" si="4"/>
        <v>77.786519257710324</v>
      </c>
      <c r="G65" s="97"/>
      <c r="H65" s="97"/>
    </row>
    <row r="66" spans="1:12" s="88" customFormat="1" ht="24" customHeight="1" x14ac:dyDescent="0.3">
      <c r="A66" s="1314"/>
      <c r="B66" s="1535" t="s">
        <v>448</v>
      </c>
      <c r="C66" s="295"/>
      <c r="D66" s="295">
        <v>148</v>
      </c>
      <c r="E66" s="408"/>
      <c r="F66" s="411">
        <f t="shared" si="4"/>
        <v>0</v>
      </c>
      <c r="G66" s="97"/>
      <c r="H66" s="97"/>
    </row>
    <row r="67" spans="1:12" s="88" customFormat="1" ht="24" customHeight="1" x14ac:dyDescent="0.3">
      <c r="A67" s="1314"/>
      <c r="B67" s="1535" t="s">
        <v>493</v>
      </c>
      <c r="C67" s="295"/>
      <c r="D67" s="295">
        <v>637</v>
      </c>
      <c r="E67" s="408"/>
      <c r="F67" s="411">
        <f t="shared" si="4"/>
        <v>0</v>
      </c>
      <c r="G67" s="97"/>
      <c r="H67" s="97"/>
    </row>
    <row r="68" spans="1:12" s="88" customFormat="1" ht="24" customHeight="1" x14ac:dyDescent="0.3">
      <c r="A68" s="1314"/>
      <c r="B68" s="1535" t="s">
        <v>368</v>
      </c>
      <c r="C68" s="295"/>
      <c r="D68" s="295">
        <v>79206</v>
      </c>
      <c r="E68" s="408">
        <v>79206</v>
      </c>
      <c r="F68" s="411">
        <f t="shared" ref="F68:F69" si="9">+E68/D68*100</f>
        <v>100</v>
      </c>
      <c r="G68" s="97"/>
      <c r="H68" s="97"/>
    </row>
    <row r="69" spans="1:12" s="88" customFormat="1" ht="24" customHeight="1" x14ac:dyDescent="0.3">
      <c r="A69" s="1314"/>
      <c r="B69" s="1535" t="s">
        <v>390</v>
      </c>
      <c r="C69" s="295"/>
      <c r="D69" s="295">
        <v>7073</v>
      </c>
      <c r="E69" s="408"/>
      <c r="F69" s="411">
        <f t="shared" si="9"/>
        <v>0</v>
      </c>
      <c r="G69" s="97"/>
      <c r="H69" s="97"/>
    </row>
    <row r="70" spans="1:12" s="88" customFormat="1" ht="26.25" customHeight="1" x14ac:dyDescent="0.3">
      <c r="A70" s="1536"/>
      <c r="B70" s="1542" t="s">
        <v>36</v>
      </c>
      <c r="C70" s="298">
        <f>SUM(C28:C69)</f>
        <v>1332661</v>
      </c>
      <c r="D70" s="299">
        <f>SUM(D28:D69)</f>
        <v>2819113</v>
      </c>
      <c r="E70" s="300">
        <f>SUM(E28:E69)</f>
        <v>2214433</v>
      </c>
      <c r="F70" s="348">
        <f>+E70/D70*100</f>
        <v>78.550700167038357</v>
      </c>
      <c r="G70" s="97"/>
      <c r="H70" s="97"/>
      <c r="J70" s="97"/>
      <c r="K70" s="97"/>
      <c r="L70" s="97"/>
    </row>
    <row r="71" spans="1:12" s="88" customFormat="1" ht="23.25" customHeight="1" x14ac:dyDescent="0.3">
      <c r="A71" s="1540" t="s">
        <v>308</v>
      </c>
      <c r="B71" s="1541" t="s">
        <v>338</v>
      </c>
      <c r="C71" s="301"/>
      <c r="D71" s="285"/>
      <c r="E71" s="285"/>
      <c r="F71" s="302"/>
      <c r="G71" s="97"/>
      <c r="H71" s="97"/>
    </row>
    <row r="72" spans="1:12" s="88" customFormat="1" ht="19.5" customHeight="1" x14ac:dyDescent="0.3">
      <c r="A72" s="1314"/>
      <c r="B72" s="1550"/>
      <c r="C72" s="286"/>
      <c r="D72" s="286"/>
      <c r="E72" s="292"/>
      <c r="F72" s="309"/>
      <c r="G72" s="97"/>
      <c r="H72" s="97"/>
    </row>
    <row r="73" spans="1:12" s="103" customFormat="1" ht="24" customHeight="1" x14ac:dyDescent="0.3">
      <c r="A73" s="1540"/>
      <c r="B73" s="1541" t="s">
        <v>339</v>
      </c>
      <c r="C73" s="301">
        <f t="shared" ref="C73:F73" si="10">SUM(C72:C72)</f>
        <v>0</v>
      </c>
      <c r="D73" s="301">
        <f t="shared" si="10"/>
        <v>0</v>
      </c>
      <c r="E73" s="301">
        <f t="shared" si="10"/>
        <v>0</v>
      </c>
      <c r="F73" s="805">
        <f t="shared" si="10"/>
        <v>0</v>
      </c>
      <c r="G73" s="97"/>
      <c r="H73" s="97"/>
    </row>
    <row r="74" spans="1:12" s="104" customFormat="1" ht="24" customHeight="1" thickBot="1" x14ac:dyDescent="0.35">
      <c r="A74" s="1320" t="s">
        <v>309</v>
      </c>
      <c r="B74" s="1551" t="s">
        <v>52</v>
      </c>
      <c r="C74" s="303">
        <v>10000</v>
      </c>
      <c r="D74" s="303">
        <v>10000</v>
      </c>
      <c r="E74" s="806">
        <v>1157</v>
      </c>
      <c r="F74" s="305">
        <f>+E74/D74*100</f>
        <v>11.57</v>
      </c>
      <c r="G74" s="97"/>
      <c r="H74" s="97"/>
    </row>
    <row r="75" spans="1:12" s="88" customFormat="1" ht="24.75" customHeight="1" thickBot="1" x14ac:dyDescent="0.35">
      <c r="A75" s="1552"/>
      <c r="B75" s="1553" t="s">
        <v>494</v>
      </c>
      <c r="C75" s="304">
        <f>C13+C14+C21+C25+C70+C74+C17+C71+C73</f>
        <v>1358061</v>
      </c>
      <c r="D75" s="304">
        <f>D13+D14+D21+D25+D70+D74+D17+D71+D73</f>
        <v>3090819</v>
      </c>
      <c r="E75" s="304">
        <f>E13+E21+E25+E70+E74+E17+E73</f>
        <v>2393435</v>
      </c>
      <c r="F75" s="305">
        <f>+E75/D75*100</f>
        <v>77.436918823133936</v>
      </c>
      <c r="G75" s="97"/>
      <c r="H75" s="97"/>
    </row>
    <row r="76" spans="1:12" ht="19.5" customHeight="1" x14ac:dyDescent="0.25">
      <c r="A76" s="46"/>
      <c r="B76" s="46"/>
      <c r="C76" s="46"/>
      <c r="D76" s="97"/>
      <c r="E76" s="97"/>
      <c r="F76" s="88"/>
    </row>
    <row r="77" spans="1:12" ht="19.5" customHeight="1" x14ac:dyDescent="0.25">
      <c r="A77" s="46"/>
      <c r="B77" s="46"/>
      <c r="C77" s="46"/>
      <c r="D77" s="97"/>
      <c r="E77" s="97"/>
      <c r="F77" s="88"/>
    </row>
    <row r="78" spans="1:12" ht="19.5" customHeight="1" x14ac:dyDescent="0.25">
      <c r="A78" s="46"/>
      <c r="B78" s="46"/>
      <c r="C78" s="46"/>
      <c r="D78" s="106"/>
      <c r="E78" s="106"/>
      <c r="F78" s="88"/>
    </row>
    <row r="79" spans="1:12" ht="19.5" customHeight="1" x14ac:dyDescent="0.25">
      <c r="A79" s="46"/>
      <c r="B79" s="46"/>
      <c r="C79" s="46"/>
      <c r="D79" s="97"/>
      <c r="E79" s="97"/>
      <c r="F79" s="88"/>
    </row>
    <row r="80" spans="1:12" ht="19.5" customHeight="1" x14ac:dyDescent="0.25">
      <c r="A80" s="46"/>
      <c r="B80" s="46"/>
      <c r="C80" s="46"/>
      <c r="D80" s="97"/>
      <c r="E80" s="97"/>
      <c r="F80" s="88"/>
    </row>
    <row r="81" spans="1:6" ht="19.5" customHeight="1" x14ac:dyDescent="0.25">
      <c r="A81" s="46"/>
      <c r="B81" s="46"/>
      <c r="C81" s="46"/>
      <c r="D81" s="97"/>
      <c r="E81" s="97"/>
      <c r="F81" s="88"/>
    </row>
    <row r="82" spans="1:6" ht="19.5" customHeight="1" x14ac:dyDescent="0.25">
      <c r="A82" s="46"/>
      <c r="B82" s="46"/>
      <c r="C82" s="46"/>
      <c r="D82" s="97"/>
      <c r="E82" s="97"/>
      <c r="F82" s="88"/>
    </row>
    <row r="83" spans="1:6" ht="19.5" customHeight="1" x14ac:dyDescent="0.25">
      <c r="A83" s="46"/>
      <c r="B83" s="46"/>
      <c r="C83" s="46"/>
      <c r="D83" s="97"/>
      <c r="E83" s="97"/>
      <c r="F83" s="88"/>
    </row>
    <row r="84" spans="1:6" ht="19.5" customHeight="1" x14ac:dyDescent="0.25">
      <c r="A84" s="46"/>
      <c r="B84" s="46"/>
      <c r="C84" s="46"/>
      <c r="D84" s="97"/>
      <c r="E84" s="97"/>
      <c r="F84" s="88"/>
    </row>
    <row r="85" spans="1:6" ht="19.5" customHeight="1" x14ac:dyDescent="0.25">
      <c r="A85" s="46"/>
      <c r="B85" s="46"/>
      <c r="C85" s="46"/>
      <c r="D85" s="97"/>
      <c r="E85" s="97"/>
      <c r="F85" s="88"/>
    </row>
    <row r="86" spans="1:6" ht="19.5" customHeight="1" x14ac:dyDescent="0.25">
      <c r="A86" s="46"/>
      <c r="B86" s="46"/>
      <c r="C86" s="46"/>
      <c r="D86" s="97"/>
      <c r="E86" s="97"/>
      <c r="F86" s="88"/>
    </row>
    <row r="87" spans="1:6" ht="15" customHeight="1" x14ac:dyDescent="0.25">
      <c r="E87" s="47"/>
    </row>
    <row r="90" spans="1:6" ht="15" customHeight="1" x14ac:dyDescent="0.2">
      <c r="F90" s="9"/>
    </row>
    <row r="92" spans="1:6" s="9" customFormat="1" ht="15" customHeight="1" x14ac:dyDescent="0.2">
      <c r="A92" s="8"/>
      <c r="B92" s="8"/>
      <c r="C92" s="8"/>
      <c r="F92" s="8"/>
    </row>
    <row r="93" spans="1:6" s="9" customFormat="1" ht="15" customHeight="1" x14ac:dyDescent="0.2">
      <c r="A93" s="8"/>
      <c r="B93" s="8"/>
      <c r="C93" s="8"/>
      <c r="F93" s="8"/>
    </row>
    <row r="94" spans="1:6" s="9" customFormat="1" ht="15" customHeight="1" x14ac:dyDescent="0.2">
      <c r="A94" s="8"/>
      <c r="B94" s="8"/>
      <c r="C94" s="8"/>
      <c r="F94" s="8"/>
    </row>
    <row r="95" spans="1:6" s="9" customFormat="1" ht="15" customHeight="1" x14ac:dyDescent="0.2">
      <c r="A95" s="8"/>
      <c r="B95" s="8"/>
      <c r="C95" s="8"/>
      <c r="F95" s="8"/>
    </row>
    <row r="96" spans="1:6" s="9" customFormat="1" ht="15" customHeight="1" x14ac:dyDescent="0.2">
      <c r="A96" s="8"/>
      <c r="B96" s="8"/>
      <c r="C96" s="8"/>
      <c r="F96" s="8"/>
    </row>
    <row r="97" spans="1:6" s="9" customFormat="1" ht="15" customHeight="1" x14ac:dyDescent="0.2">
      <c r="A97" s="8"/>
      <c r="B97" s="8"/>
      <c r="C97" s="8"/>
      <c r="F97" s="8"/>
    </row>
    <row r="98" spans="1:6" s="9" customFormat="1" ht="15" customHeight="1" x14ac:dyDescent="0.2">
      <c r="A98" s="8"/>
      <c r="B98" s="8"/>
      <c r="C98" s="8"/>
      <c r="F98" s="8"/>
    </row>
    <row r="99" spans="1:6" s="9" customFormat="1" ht="15" customHeight="1" x14ac:dyDescent="0.2">
      <c r="A99" s="8"/>
      <c r="B99" s="8"/>
      <c r="C99" s="8"/>
      <c r="F99" s="8"/>
    </row>
    <row r="100" spans="1:6" s="9" customFormat="1" ht="15" customHeight="1" x14ac:dyDescent="0.2">
      <c r="A100" s="8"/>
      <c r="B100" s="8"/>
      <c r="C100" s="8"/>
      <c r="F100" s="8"/>
    </row>
    <row r="101" spans="1:6" s="9" customFormat="1" ht="15" customHeight="1" x14ac:dyDescent="0.2">
      <c r="A101" s="8"/>
      <c r="B101" s="8"/>
      <c r="C101" s="8"/>
      <c r="F101" s="8"/>
    </row>
    <row r="102" spans="1:6" s="9" customFormat="1" ht="15" customHeight="1" x14ac:dyDescent="0.2">
      <c r="A102" s="8"/>
      <c r="B102" s="8"/>
      <c r="C102" s="8"/>
      <c r="F102" s="8"/>
    </row>
    <row r="103" spans="1:6" s="9" customFormat="1" ht="15" customHeight="1" x14ac:dyDescent="0.2">
      <c r="A103" s="8"/>
      <c r="B103" s="8"/>
      <c r="C103" s="8"/>
      <c r="F103" s="8"/>
    </row>
    <row r="104" spans="1:6" s="9" customFormat="1" ht="15" customHeight="1" x14ac:dyDescent="0.2">
      <c r="A104" s="8"/>
      <c r="B104" s="8"/>
      <c r="C104" s="8"/>
      <c r="F104" s="8"/>
    </row>
    <row r="105" spans="1:6" s="9" customFormat="1" ht="15" customHeight="1" x14ac:dyDescent="0.2">
      <c r="A105" s="8"/>
      <c r="B105" s="8"/>
      <c r="C105" s="8"/>
      <c r="F105" s="8"/>
    </row>
    <row r="106" spans="1:6" s="9" customFormat="1" ht="15" customHeight="1" x14ac:dyDescent="0.2">
      <c r="A106" s="8"/>
      <c r="B106" s="8"/>
      <c r="C106" s="8"/>
      <c r="F106" s="8"/>
    </row>
    <row r="107" spans="1:6" s="9" customFormat="1" ht="15" customHeight="1" x14ac:dyDescent="0.2">
      <c r="A107" s="8"/>
      <c r="B107" s="8"/>
      <c r="C107" s="8"/>
      <c r="F107" s="8"/>
    </row>
    <row r="108" spans="1:6" s="9" customFormat="1" ht="15" customHeight="1" x14ac:dyDescent="0.2">
      <c r="A108" s="8"/>
      <c r="B108" s="8"/>
      <c r="C108" s="8"/>
      <c r="F108" s="8"/>
    </row>
    <row r="109" spans="1:6" s="9" customFormat="1" ht="15" customHeight="1" x14ac:dyDescent="0.2">
      <c r="A109" s="8"/>
      <c r="B109" s="8"/>
      <c r="C109" s="8"/>
      <c r="F109" s="8"/>
    </row>
    <row r="110" spans="1:6" s="9" customFormat="1" ht="15" customHeight="1" x14ac:dyDescent="0.2">
      <c r="A110" s="8"/>
      <c r="B110" s="8"/>
      <c r="C110" s="8"/>
      <c r="F110" s="8"/>
    </row>
    <row r="111" spans="1:6" s="9" customFormat="1" ht="15" customHeight="1" x14ac:dyDescent="0.2">
      <c r="A111" s="8"/>
      <c r="B111" s="8"/>
      <c r="C111" s="8"/>
      <c r="F111" s="8"/>
    </row>
    <row r="112" spans="1:6" s="9" customFormat="1" ht="15" customHeight="1" x14ac:dyDescent="0.2">
      <c r="A112" s="8"/>
      <c r="B112" s="8"/>
      <c r="C112" s="8"/>
      <c r="F112" s="8"/>
    </row>
    <row r="113" spans="1:6" s="9" customFormat="1" ht="15" customHeight="1" x14ac:dyDescent="0.2">
      <c r="A113" s="8"/>
      <c r="B113" s="8"/>
      <c r="C113" s="8"/>
      <c r="F113" s="8"/>
    </row>
    <row r="114" spans="1:6" s="9" customFormat="1" ht="15" customHeight="1" x14ac:dyDescent="0.2">
      <c r="A114" s="8"/>
      <c r="B114" s="8"/>
      <c r="C114" s="8"/>
      <c r="F114" s="8"/>
    </row>
    <row r="115" spans="1:6" s="9" customFormat="1" ht="15" customHeight="1" x14ac:dyDescent="0.2">
      <c r="A115" s="8"/>
      <c r="B115" s="8"/>
      <c r="C115" s="8"/>
      <c r="F115" s="8"/>
    </row>
    <row r="116" spans="1:6" s="9" customFormat="1" ht="15" customHeight="1" x14ac:dyDescent="0.2">
      <c r="A116" s="8"/>
      <c r="B116" s="8"/>
      <c r="C116" s="8"/>
      <c r="F116" s="8"/>
    </row>
    <row r="117" spans="1:6" s="9" customFormat="1" ht="15" customHeight="1" x14ac:dyDescent="0.2">
      <c r="A117" s="8"/>
      <c r="B117" s="8"/>
      <c r="C117" s="8"/>
      <c r="F117" s="8"/>
    </row>
    <row r="118" spans="1:6" s="9" customFormat="1" ht="15" customHeight="1" x14ac:dyDescent="0.2">
      <c r="A118" s="8"/>
      <c r="B118" s="8"/>
      <c r="C118" s="8"/>
      <c r="F118" s="8"/>
    </row>
    <row r="119" spans="1:6" s="9" customFormat="1" ht="15" customHeight="1" x14ac:dyDescent="0.2">
      <c r="A119" s="8"/>
      <c r="B119" s="8"/>
      <c r="C119" s="8"/>
      <c r="F119" s="8"/>
    </row>
    <row r="120" spans="1:6" s="9" customFormat="1" ht="15" customHeight="1" x14ac:dyDescent="0.2">
      <c r="A120" s="8"/>
      <c r="B120" s="8"/>
      <c r="C120" s="8"/>
      <c r="F120" s="8"/>
    </row>
    <row r="121" spans="1:6" s="9" customFormat="1" ht="15" customHeight="1" x14ac:dyDescent="0.2">
      <c r="A121" s="8"/>
      <c r="B121" s="8"/>
      <c r="C121" s="8"/>
      <c r="F121" s="8"/>
    </row>
    <row r="122" spans="1:6" s="9" customFormat="1" ht="15" customHeight="1" x14ac:dyDescent="0.2">
      <c r="A122" s="8"/>
      <c r="B122" s="8"/>
      <c r="C122" s="8"/>
      <c r="F122" s="8"/>
    </row>
    <row r="123" spans="1:6" s="9" customFormat="1" ht="15" customHeight="1" x14ac:dyDescent="0.2">
      <c r="A123" s="8"/>
      <c r="B123" s="8"/>
      <c r="C123" s="8"/>
      <c r="F123" s="8"/>
    </row>
    <row r="124" spans="1:6" s="9" customFormat="1" ht="15" customHeight="1" x14ac:dyDescent="0.2">
      <c r="A124" s="8"/>
      <c r="B124" s="8"/>
      <c r="C124" s="8"/>
      <c r="F124" s="8"/>
    </row>
    <row r="125" spans="1:6" s="9" customFormat="1" ht="15" customHeight="1" x14ac:dyDescent="0.2">
      <c r="A125" s="8"/>
      <c r="B125" s="8"/>
      <c r="C125" s="8"/>
      <c r="F125" s="8"/>
    </row>
    <row r="126" spans="1:6" s="9" customFormat="1" ht="15" customHeight="1" x14ac:dyDescent="0.2">
      <c r="A126" s="8"/>
      <c r="B126" s="8"/>
      <c r="C126" s="8"/>
      <c r="F126" s="8"/>
    </row>
    <row r="127" spans="1:6" s="9" customFormat="1" ht="15" customHeight="1" x14ac:dyDescent="0.2">
      <c r="A127" s="8"/>
      <c r="B127" s="8"/>
      <c r="C127" s="8"/>
      <c r="F127" s="8"/>
    </row>
    <row r="128" spans="1:6" s="9" customFormat="1" ht="15" customHeight="1" x14ac:dyDescent="0.2">
      <c r="A128" s="8"/>
      <c r="B128" s="8"/>
      <c r="C128" s="8"/>
      <c r="F128" s="8"/>
    </row>
    <row r="129" spans="1:6" s="9" customFormat="1" ht="15" customHeight="1" x14ac:dyDescent="0.2">
      <c r="A129" s="8"/>
      <c r="B129" s="8"/>
      <c r="C129" s="8"/>
      <c r="F129" s="8"/>
    </row>
    <row r="130" spans="1:6" s="9" customFormat="1" ht="15" customHeight="1" x14ac:dyDescent="0.2">
      <c r="A130" s="8"/>
      <c r="B130" s="8"/>
      <c r="C130" s="8"/>
      <c r="F130" s="8"/>
    </row>
    <row r="131" spans="1:6" s="9" customFormat="1" ht="15" customHeight="1" x14ac:dyDescent="0.2">
      <c r="A131" s="8"/>
      <c r="B131" s="8"/>
      <c r="C131" s="8"/>
      <c r="F131" s="8"/>
    </row>
    <row r="132" spans="1:6" s="9" customFormat="1" ht="15" customHeight="1" x14ac:dyDescent="0.2">
      <c r="A132" s="8"/>
      <c r="B132" s="8"/>
      <c r="C132" s="8"/>
      <c r="F132" s="8"/>
    </row>
    <row r="133" spans="1:6" s="9" customFormat="1" ht="15" customHeight="1" x14ac:dyDescent="0.2">
      <c r="A133" s="8"/>
      <c r="B133" s="8"/>
      <c r="C133" s="8"/>
      <c r="F133" s="8"/>
    </row>
    <row r="134" spans="1:6" s="9" customFormat="1" ht="15" customHeight="1" x14ac:dyDescent="0.2">
      <c r="A134" s="8"/>
      <c r="B134" s="8"/>
      <c r="C134" s="8"/>
      <c r="F134" s="8"/>
    </row>
    <row r="135" spans="1:6" s="9" customFormat="1" ht="15" customHeight="1" x14ac:dyDescent="0.2">
      <c r="A135" s="8"/>
      <c r="B135" s="8"/>
      <c r="C135" s="8"/>
      <c r="F135" s="8"/>
    </row>
    <row r="136" spans="1:6" s="9" customFormat="1" ht="15" customHeight="1" x14ac:dyDescent="0.2">
      <c r="A136" s="8"/>
      <c r="B136" s="8"/>
      <c r="C136" s="8"/>
      <c r="F136" s="8"/>
    </row>
    <row r="137" spans="1:6" s="9" customFormat="1" ht="15" customHeight="1" x14ac:dyDescent="0.2">
      <c r="A137" s="8"/>
      <c r="B137" s="8"/>
      <c r="C137" s="8"/>
      <c r="F137" s="8"/>
    </row>
    <row r="138" spans="1:6" s="9" customFormat="1" ht="15" customHeight="1" x14ac:dyDescent="0.2">
      <c r="A138" s="8"/>
      <c r="B138" s="8"/>
      <c r="C138" s="8"/>
      <c r="F138" s="8"/>
    </row>
    <row r="139" spans="1:6" s="9" customFormat="1" ht="15" customHeight="1" x14ac:dyDescent="0.2">
      <c r="A139" s="8"/>
      <c r="B139" s="8"/>
      <c r="C139" s="8"/>
      <c r="F139" s="8"/>
    </row>
    <row r="140" spans="1:6" s="9" customFormat="1" ht="15" customHeight="1" x14ac:dyDescent="0.2">
      <c r="A140" s="8"/>
      <c r="B140" s="8"/>
      <c r="C140" s="8"/>
      <c r="F140" s="8"/>
    </row>
    <row r="141" spans="1:6" s="9" customFormat="1" ht="15" customHeight="1" x14ac:dyDescent="0.2">
      <c r="A141" s="8"/>
      <c r="B141" s="8"/>
      <c r="C141" s="8"/>
      <c r="F141" s="8"/>
    </row>
    <row r="142" spans="1:6" s="9" customFormat="1" ht="15" customHeight="1" x14ac:dyDescent="0.2">
      <c r="A142" s="8"/>
      <c r="B142" s="8"/>
      <c r="C142" s="8"/>
      <c r="F142" s="8"/>
    </row>
    <row r="143" spans="1:6" s="9" customFormat="1" ht="15" customHeight="1" x14ac:dyDescent="0.2">
      <c r="A143" s="8"/>
      <c r="B143" s="8"/>
      <c r="C143" s="8"/>
      <c r="F143" s="8"/>
    </row>
    <row r="144" spans="1:6" s="9" customFormat="1" ht="15" customHeight="1" x14ac:dyDescent="0.2">
      <c r="A144" s="8"/>
      <c r="B144" s="8"/>
      <c r="C144" s="8"/>
      <c r="F144" s="8"/>
    </row>
    <row r="145" spans="1:6" s="9" customFormat="1" ht="15" customHeight="1" x14ac:dyDescent="0.2">
      <c r="A145" s="8"/>
      <c r="B145" s="8"/>
      <c r="C145" s="8"/>
      <c r="F145" s="8"/>
    </row>
    <row r="146" spans="1:6" s="9" customFormat="1" ht="15" customHeight="1" x14ac:dyDescent="0.2">
      <c r="A146" s="8"/>
      <c r="B146" s="8"/>
      <c r="C146" s="8"/>
      <c r="F146" s="8"/>
    </row>
    <row r="147" spans="1:6" s="9" customFormat="1" ht="15" customHeight="1" x14ac:dyDescent="0.2">
      <c r="A147" s="8"/>
      <c r="B147" s="8"/>
      <c r="C147" s="8"/>
      <c r="F147" s="8"/>
    </row>
    <row r="148" spans="1:6" s="9" customFormat="1" ht="15" customHeight="1" x14ac:dyDescent="0.2">
      <c r="A148" s="8"/>
      <c r="B148" s="8"/>
      <c r="C148" s="8"/>
      <c r="F148" s="8"/>
    </row>
    <row r="149" spans="1:6" s="9" customFormat="1" ht="15" customHeight="1" x14ac:dyDescent="0.2">
      <c r="A149" s="8"/>
      <c r="B149" s="8"/>
      <c r="C149" s="8"/>
      <c r="F149" s="8"/>
    </row>
    <row r="150" spans="1:6" s="9" customFormat="1" ht="15" customHeight="1" x14ac:dyDescent="0.2">
      <c r="A150" s="8"/>
      <c r="B150" s="8"/>
      <c r="C150" s="8"/>
      <c r="F150" s="8"/>
    </row>
    <row r="151" spans="1:6" s="9" customFormat="1" ht="15" customHeight="1" x14ac:dyDescent="0.2">
      <c r="A151" s="8"/>
      <c r="B151" s="8"/>
      <c r="C151" s="8"/>
      <c r="F151" s="8"/>
    </row>
    <row r="152" spans="1:6" s="9" customFormat="1" ht="15" customHeight="1" x14ac:dyDescent="0.2">
      <c r="A152" s="8"/>
      <c r="B152" s="8"/>
      <c r="C152" s="8"/>
      <c r="F152" s="8"/>
    </row>
    <row r="153" spans="1:6" s="9" customFormat="1" ht="15" customHeight="1" x14ac:dyDescent="0.2">
      <c r="A153" s="8"/>
      <c r="B153" s="8"/>
      <c r="C153" s="8"/>
      <c r="F153" s="8"/>
    </row>
    <row r="154" spans="1:6" s="9" customFormat="1" ht="15" customHeight="1" x14ac:dyDescent="0.2">
      <c r="A154" s="8"/>
      <c r="B154" s="8"/>
      <c r="C154" s="8"/>
      <c r="F154" s="8"/>
    </row>
    <row r="155" spans="1:6" s="9" customFormat="1" ht="15" customHeight="1" x14ac:dyDescent="0.2">
      <c r="A155" s="8"/>
      <c r="B155" s="8"/>
      <c r="C155" s="8"/>
      <c r="F155" s="8"/>
    </row>
    <row r="156" spans="1:6" s="9" customFormat="1" ht="15" customHeight="1" x14ac:dyDescent="0.2">
      <c r="A156" s="8"/>
      <c r="B156" s="8"/>
      <c r="C156" s="8"/>
      <c r="F156" s="8"/>
    </row>
    <row r="157" spans="1:6" s="9" customFormat="1" ht="15" customHeight="1" x14ac:dyDescent="0.2">
      <c r="A157" s="8"/>
      <c r="B157" s="8"/>
      <c r="C157" s="8"/>
      <c r="F157" s="8"/>
    </row>
    <row r="158" spans="1:6" s="9" customFormat="1" ht="15" customHeight="1" x14ac:dyDescent="0.2">
      <c r="A158" s="8"/>
      <c r="B158" s="8"/>
      <c r="C158" s="8"/>
      <c r="F158" s="8"/>
    </row>
    <row r="159" spans="1:6" s="9" customFormat="1" ht="15" customHeight="1" x14ac:dyDescent="0.2">
      <c r="A159" s="8"/>
      <c r="B159" s="8"/>
      <c r="C159" s="8"/>
      <c r="F159" s="8"/>
    </row>
    <row r="160" spans="1:6" s="9" customFormat="1" ht="15" customHeight="1" x14ac:dyDescent="0.2">
      <c r="A160" s="8"/>
      <c r="B160" s="8"/>
      <c r="C160" s="8"/>
      <c r="F160" s="8"/>
    </row>
    <row r="161" spans="1:6" s="9" customFormat="1" ht="15" customHeight="1" x14ac:dyDescent="0.2">
      <c r="A161" s="8"/>
      <c r="B161" s="8"/>
      <c r="C161" s="8"/>
      <c r="F161" s="8"/>
    </row>
    <row r="162" spans="1:6" s="9" customFormat="1" ht="15" customHeight="1" x14ac:dyDescent="0.2">
      <c r="A162" s="8"/>
      <c r="B162" s="8"/>
      <c r="C162" s="8"/>
      <c r="F162" s="8"/>
    </row>
    <row r="163" spans="1:6" s="9" customFormat="1" ht="15" customHeight="1" x14ac:dyDescent="0.2">
      <c r="A163" s="8"/>
      <c r="B163" s="8"/>
      <c r="C163" s="8"/>
      <c r="F163" s="8"/>
    </row>
    <row r="164" spans="1:6" s="9" customFormat="1" ht="15" customHeight="1" x14ac:dyDescent="0.2">
      <c r="A164" s="8"/>
      <c r="B164" s="8"/>
      <c r="C164" s="8"/>
      <c r="F164" s="8"/>
    </row>
    <row r="165" spans="1:6" s="9" customFormat="1" ht="15" customHeight="1" x14ac:dyDescent="0.2">
      <c r="A165" s="8"/>
      <c r="B165" s="8"/>
      <c r="C165" s="8"/>
      <c r="F165" s="8"/>
    </row>
    <row r="166" spans="1:6" s="9" customFormat="1" ht="15" customHeight="1" x14ac:dyDescent="0.2">
      <c r="A166" s="8"/>
      <c r="B166" s="8"/>
      <c r="C166" s="8"/>
      <c r="F166" s="8"/>
    </row>
    <row r="167" spans="1:6" s="9" customFormat="1" ht="15" customHeight="1" x14ac:dyDescent="0.2">
      <c r="A167" s="8"/>
      <c r="B167" s="8"/>
      <c r="C167" s="8"/>
      <c r="F167" s="8"/>
    </row>
    <row r="168" spans="1:6" s="9" customFormat="1" ht="15" customHeight="1" x14ac:dyDescent="0.2">
      <c r="A168" s="8"/>
      <c r="B168" s="8"/>
      <c r="C168" s="8"/>
      <c r="F168" s="8"/>
    </row>
    <row r="169" spans="1:6" s="9" customFormat="1" ht="15" customHeight="1" x14ac:dyDescent="0.2">
      <c r="A169" s="8"/>
      <c r="B169" s="8"/>
      <c r="C169" s="8"/>
      <c r="F169" s="8"/>
    </row>
    <row r="170" spans="1:6" s="9" customFormat="1" ht="15" customHeight="1" x14ac:dyDescent="0.2">
      <c r="A170" s="8"/>
      <c r="B170" s="8"/>
      <c r="C170" s="8"/>
      <c r="F170" s="8"/>
    </row>
    <row r="171" spans="1:6" s="9" customFormat="1" ht="15" customHeight="1" x14ac:dyDescent="0.2">
      <c r="A171" s="8"/>
      <c r="B171" s="8"/>
      <c r="C171" s="8"/>
      <c r="F171" s="8"/>
    </row>
    <row r="172" spans="1:6" s="9" customFormat="1" ht="15" customHeight="1" x14ac:dyDescent="0.2">
      <c r="A172" s="8"/>
      <c r="B172" s="8"/>
      <c r="C172" s="8"/>
      <c r="F172" s="8"/>
    </row>
    <row r="173" spans="1:6" s="9" customFormat="1" ht="15" customHeight="1" x14ac:dyDescent="0.2">
      <c r="A173" s="8"/>
      <c r="B173" s="8"/>
      <c r="C173" s="8"/>
      <c r="F173" s="8"/>
    </row>
    <row r="174" spans="1:6" s="9" customFormat="1" ht="15" customHeight="1" x14ac:dyDescent="0.2">
      <c r="A174" s="8"/>
      <c r="B174" s="8"/>
      <c r="C174" s="8"/>
      <c r="F174" s="8"/>
    </row>
    <row r="175" spans="1:6" s="9" customFormat="1" ht="15" customHeight="1" x14ac:dyDescent="0.2">
      <c r="A175" s="8"/>
      <c r="B175" s="8"/>
      <c r="C175" s="8"/>
      <c r="F175" s="8"/>
    </row>
    <row r="176" spans="1:6" s="9" customFormat="1" ht="15" customHeight="1" x14ac:dyDescent="0.2">
      <c r="A176" s="8"/>
      <c r="B176" s="8"/>
      <c r="C176" s="8"/>
      <c r="F176" s="8"/>
    </row>
    <row r="177" spans="1:6" s="9" customFormat="1" ht="15" customHeight="1" x14ac:dyDescent="0.2">
      <c r="A177" s="8"/>
      <c r="B177" s="8"/>
      <c r="C177" s="8"/>
      <c r="F177" s="8"/>
    </row>
    <row r="178" spans="1:6" s="9" customFormat="1" ht="15" customHeight="1" x14ac:dyDescent="0.2">
      <c r="A178" s="8"/>
      <c r="B178" s="8"/>
      <c r="C178" s="8"/>
      <c r="F178" s="8"/>
    </row>
    <row r="179" spans="1:6" s="9" customFormat="1" ht="15" customHeight="1" x14ac:dyDescent="0.2">
      <c r="A179" s="8"/>
      <c r="B179" s="8"/>
      <c r="C179" s="8"/>
      <c r="F179" s="8"/>
    </row>
    <row r="180" spans="1:6" s="9" customFormat="1" ht="15" customHeight="1" x14ac:dyDescent="0.2">
      <c r="A180" s="8"/>
      <c r="B180" s="8"/>
      <c r="C180" s="8"/>
      <c r="F180" s="8"/>
    </row>
    <row r="181" spans="1:6" s="9" customFormat="1" ht="15" customHeight="1" x14ac:dyDescent="0.2">
      <c r="A181" s="8"/>
      <c r="B181" s="8"/>
      <c r="C181" s="8"/>
      <c r="F181" s="8"/>
    </row>
    <row r="182" spans="1:6" s="9" customFormat="1" ht="15" customHeight="1" x14ac:dyDescent="0.2">
      <c r="A182" s="8"/>
      <c r="B182" s="8"/>
      <c r="C182" s="8"/>
      <c r="F182" s="8"/>
    </row>
    <row r="183" spans="1:6" s="9" customFormat="1" ht="15" customHeight="1" x14ac:dyDescent="0.2">
      <c r="A183" s="8"/>
      <c r="B183" s="8"/>
      <c r="C183" s="8"/>
      <c r="F183" s="8"/>
    </row>
    <row r="184" spans="1:6" s="9" customFormat="1" ht="15" customHeight="1" x14ac:dyDescent="0.2">
      <c r="A184" s="8"/>
      <c r="B184" s="8"/>
      <c r="C184" s="8"/>
      <c r="F184" s="8"/>
    </row>
    <row r="185" spans="1:6" s="9" customFormat="1" ht="15" customHeight="1" x14ac:dyDescent="0.2">
      <c r="A185" s="8"/>
      <c r="B185" s="8"/>
      <c r="C185" s="8"/>
      <c r="F185" s="8"/>
    </row>
    <row r="186" spans="1:6" s="9" customFormat="1" ht="15" customHeight="1" x14ac:dyDescent="0.2">
      <c r="A186" s="8"/>
      <c r="B186" s="8"/>
      <c r="C186" s="8"/>
      <c r="F186" s="8"/>
    </row>
    <row r="187" spans="1:6" s="9" customFormat="1" ht="15" customHeight="1" x14ac:dyDescent="0.2">
      <c r="A187" s="8"/>
      <c r="B187" s="8"/>
      <c r="C187" s="8"/>
      <c r="F187" s="8"/>
    </row>
    <row r="188" spans="1:6" s="9" customFormat="1" ht="15" customHeight="1" x14ac:dyDescent="0.2">
      <c r="A188" s="8"/>
      <c r="B188" s="8"/>
      <c r="C188" s="8"/>
      <c r="F188" s="8"/>
    </row>
    <row r="189" spans="1:6" s="9" customFormat="1" ht="15" customHeight="1" x14ac:dyDescent="0.2">
      <c r="A189" s="8"/>
      <c r="B189" s="8"/>
      <c r="C189" s="8"/>
      <c r="F189" s="8"/>
    </row>
    <row r="190" spans="1:6" s="9" customFormat="1" ht="15" customHeight="1" x14ac:dyDescent="0.2">
      <c r="A190" s="8"/>
      <c r="B190" s="8"/>
      <c r="C190" s="8"/>
      <c r="F190" s="8"/>
    </row>
    <row r="191" spans="1:6" s="9" customFormat="1" ht="15" customHeight="1" x14ac:dyDescent="0.2">
      <c r="A191" s="8"/>
      <c r="B191" s="8"/>
      <c r="C191" s="8"/>
      <c r="F191" s="8"/>
    </row>
    <row r="192" spans="1:6" s="9" customFormat="1" ht="15" customHeight="1" x14ac:dyDescent="0.2">
      <c r="A192" s="8"/>
      <c r="B192" s="8"/>
      <c r="C192" s="8"/>
      <c r="F192" s="8"/>
    </row>
    <row r="193" spans="1:6" s="9" customFormat="1" ht="15" customHeight="1" x14ac:dyDescent="0.2">
      <c r="A193" s="8"/>
      <c r="B193" s="8"/>
      <c r="C193" s="8"/>
      <c r="F193" s="8"/>
    </row>
    <row r="194" spans="1:6" s="9" customFormat="1" ht="15" customHeight="1" x14ac:dyDescent="0.2">
      <c r="A194" s="8"/>
      <c r="B194" s="8"/>
      <c r="C194" s="8"/>
      <c r="F194" s="8"/>
    </row>
    <row r="195" spans="1:6" s="9" customFormat="1" ht="15" customHeight="1" x14ac:dyDescent="0.2">
      <c r="A195" s="8"/>
      <c r="B195" s="8"/>
      <c r="C195" s="8"/>
      <c r="F195" s="8"/>
    </row>
    <row r="196" spans="1:6" s="9" customFormat="1" ht="15" customHeight="1" x14ac:dyDescent="0.2">
      <c r="A196" s="8"/>
      <c r="B196" s="8"/>
      <c r="C196" s="8"/>
      <c r="F196" s="8"/>
    </row>
    <row r="197" spans="1:6" s="9" customFormat="1" ht="15" customHeight="1" x14ac:dyDescent="0.2">
      <c r="A197" s="8"/>
      <c r="B197" s="8"/>
      <c r="C197" s="8"/>
      <c r="F197" s="8"/>
    </row>
    <row r="198" spans="1:6" s="9" customFormat="1" ht="15" customHeight="1" x14ac:dyDescent="0.2">
      <c r="A198" s="8"/>
      <c r="B198" s="8"/>
      <c r="C198" s="8"/>
      <c r="F198" s="8"/>
    </row>
    <row r="199" spans="1:6" s="9" customFormat="1" ht="15" customHeight="1" x14ac:dyDescent="0.2">
      <c r="A199" s="8"/>
      <c r="B199" s="8"/>
      <c r="C199" s="8"/>
      <c r="F199" s="8"/>
    </row>
    <row r="200" spans="1:6" s="9" customFormat="1" ht="15" customHeight="1" x14ac:dyDescent="0.2">
      <c r="A200" s="8"/>
      <c r="B200" s="8"/>
      <c r="C200" s="8"/>
      <c r="F200" s="8"/>
    </row>
    <row r="201" spans="1:6" s="9" customFormat="1" ht="15" customHeight="1" x14ac:dyDescent="0.2">
      <c r="A201" s="8"/>
      <c r="B201" s="8"/>
      <c r="C201" s="8"/>
      <c r="F201" s="8"/>
    </row>
    <row r="202" spans="1:6" s="9" customFormat="1" ht="15" customHeight="1" x14ac:dyDescent="0.2">
      <c r="A202" s="8"/>
      <c r="B202" s="8"/>
      <c r="C202" s="8"/>
      <c r="F202" s="8"/>
    </row>
    <row r="203" spans="1:6" s="9" customFormat="1" ht="15" customHeight="1" x14ac:dyDescent="0.2">
      <c r="A203" s="8"/>
      <c r="B203" s="8"/>
      <c r="C203" s="8"/>
      <c r="F203" s="8"/>
    </row>
    <row r="204" spans="1:6" s="9" customFormat="1" ht="15" customHeight="1" x14ac:dyDescent="0.2">
      <c r="A204" s="8"/>
      <c r="B204" s="8"/>
      <c r="C204" s="8"/>
      <c r="F204" s="8"/>
    </row>
    <row r="205" spans="1:6" s="9" customFormat="1" ht="15" customHeight="1" x14ac:dyDescent="0.2">
      <c r="A205" s="8"/>
      <c r="B205" s="8"/>
      <c r="C205" s="8"/>
      <c r="F205" s="8"/>
    </row>
    <row r="206" spans="1:6" s="9" customFormat="1" ht="15" customHeight="1" x14ac:dyDescent="0.2">
      <c r="A206" s="8"/>
      <c r="B206" s="8"/>
      <c r="C206" s="8"/>
      <c r="F206" s="8"/>
    </row>
    <row r="207" spans="1:6" s="9" customFormat="1" ht="15" customHeight="1" x14ac:dyDescent="0.2">
      <c r="A207" s="8"/>
      <c r="B207" s="8"/>
      <c r="C207" s="8"/>
      <c r="F207" s="8"/>
    </row>
    <row r="208" spans="1:6" s="9" customFormat="1" ht="15" customHeight="1" x14ac:dyDescent="0.2">
      <c r="A208" s="8"/>
      <c r="B208" s="8"/>
      <c r="C208" s="8"/>
      <c r="F208" s="8"/>
    </row>
    <row r="209" spans="1:6" s="9" customFormat="1" ht="15" customHeight="1" x14ac:dyDescent="0.2">
      <c r="A209" s="8"/>
      <c r="B209" s="8"/>
      <c r="C209" s="8"/>
      <c r="F209" s="8"/>
    </row>
    <row r="210" spans="1:6" s="9" customFormat="1" ht="15" customHeight="1" x14ac:dyDescent="0.2">
      <c r="A210" s="8"/>
      <c r="B210" s="8"/>
      <c r="C210" s="8"/>
      <c r="F210" s="8"/>
    </row>
    <row r="211" spans="1:6" s="9" customFormat="1" ht="15" customHeight="1" x14ac:dyDescent="0.2">
      <c r="A211" s="8"/>
      <c r="B211" s="8"/>
      <c r="C211" s="8"/>
      <c r="F211" s="8"/>
    </row>
    <row r="212" spans="1:6" s="9" customFormat="1" ht="15" customHeight="1" x14ac:dyDescent="0.2">
      <c r="A212" s="8"/>
      <c r="B212" s="8"/>
      <c r="C212" s="8"/>
      <c r="F212" s="8"/>
    </row>
    <row r="213" spans="1:6" s="9" customFormat="1" ht="15" customHeight="1" x14ac:dyDescent="0.2">
      <c r="A213" s="8"/>
      <c r="B213" s="8"/>
      <c r="C213" s="8"/>
      <c r="F213" s="8"/>
    </row>
    <row r="214" spans="1:6" s="9" customFormat="1" ht="15" customHeight="1" x14ac:dyDescent="0.2">
      <c r="A214" s="8"/>
      <c r="B214" s="8"/>
      <c r="C214" s="8"/>
      <c r="F214" s="8"/>
    </row>
    <row r="215" spans="1:6" s="9" customFormat="1" ht="15" customHeight="1" x14ac:dyDescent="0.2">
      <c r="A215" s="8"/>
      <c r="B215" s="8"/>
      <c r="C215" s="8"/>
      <c r="F215" s="8"/>
    </row>
    <row r="216" spans="1:6" s="9" customFormat="1" ht="15" customHeight="1" x14ac:dyDescent="0.2">
      <c r="A216" s="8"/>
      <c r="B216" s="8"/>
      <c r="C216" s="8"/>
      <c r="F216" s="8"/>
    </row>
    <row r="217" spans="1:6" s="9" customFormat="1" ht="15" customHeight="1" x14ac:dyDescent="0.2">
      <c r="A217" s="8"/>
      <c r="B217" s="8"/>
      <c r="C217" s="8"/>
      <c r="F217" s="8"/>
    </row>
    <row r="218" spans="1:6" s="9" customFormat="1" ht="15" customHeight="1" x14ac:dyDescent="0.2">
      <c r="A218" s="8"/>
      <c r="B218" s="8"/>
      <c r="C218" s="8"/>
      <c r="F218" s="8"/>
    </row>
    <row r="219" spans="1:6" s="9" customFormat="1" ht="15" customHeight="1" x14ac:dyDescent="0.2">
      <c r="A219" s="8"/>
      <c r="B219" s="8"/>
      <c r="C219" s="8"/>
      <c r="F219" s="8"/>
    </row>
    <row r="220" spans="1:6" s="9" customFormat="1" ht="15" customHeight="1" x14ac:dyDescent="0.2">
      <c r="A220" s="8"/>
      <c r="B220" s="8"/>
      <c r="C220" s="8"/>
      <c r="F220" s="8"/>
    </row>
    <row r="221" spans="1:6" s="9" customFormat="1" ht="15" customHeight="1" x14ac:dyDescent="0.2">
      <c r="A221" s="8"/>
      <c r="B221" s="8"/>
      <c r="C221" s="8"/>
      <c r="F221" s="8"/>
    </row>
    <row r="222" spans="1:6" s="9" customFormat="1" ht="15" customHeight="1" x14ac:dyDescent="0.2">
      <c r="A222" s="8"/>
      <c r="B222" s="8"/>
      <c r="C222" s="8"/>
      <c r="F222" s="8"/>
    </row>
    <row r="223" spans="1:6" s="9" customFormat="1" ht="15" customHeight="1" x14ac:dyDescent="0.2">
      <c r="A223" s="8"/>
      <c r="B223" s="8"/>
      <c r="C223" s="8"/>
      <c r="F223" s="8"/>
    </row>
    <row r="224" spans="1:6" s="9" customFormat="1" ht="15" customHeight="1" x14ac:dyDescent="0.2">
      <c r="A224" s="8"/>
      <c r="B224" s="8"/>
      <c r="C224" s="8"/>
      <c r="F224" s="8"/>
    </row>
    <row r="225" spans="1:6" s="9" customFormat="1" ht="15" customHeight="1" x14ac:dyDescent="0.2">
      <c r="A225" s="8"/>
      <c r="B225" s="8"/>
      <c r="C225" s="8"/>
      <c r="F225" s="8"/>
    </row>
    <row r="226" spans="1:6" s="9" customFormat="1" ht="15" customHeight="1" x14ac:dyDescent="0.2">
      <c r="A226" s="8"/>
      <c r="B226" s="8"/>
      <c r="C226" s="8"/>
      <c r="F226" s="8"/>
    </row>
    <row r="227" spans="1:6" s="9" customFormat="1" ht="15" customHeight="1" x14ac:dyDescent="0.2">
      <c r="A227" s="8"/>
      <c r="B227" s="8"/>
      <c r="C227" s="8"/>
      <c r="F227" s="8"/>
    </row>
    <row r="228" spans="1:6" s="9" customFormat="1" ht="15" customHeight="1" x14ac:dyDescent="0.2">
      <c r="A228" s="8"/>
      <c r="B228" s="8"/>
      <c r="C228" s="8"/>
      <c r="F228" s="8"/>
    </row>
    <row r="229" spans="1:6" s="9" customFormat="1" ht="15" customHeight="1" x14ac:dyDescent="0.2">
      <c r="A229" s="8"/>
      <c r="B229" s="8"/>
      <c r="C229" s="8"/>
      <c r="F229" s="8"/>
    </row>
    <row r="230" spans="1:6" s="9" customFormat="1" ht="15" customHeight="1" x14ac:dyDescent="0.2">
      <c r="A230" s="8"/>
      <c r="B230" s="8"/>
      <c r="C230" s="8"/>
      <c r="F230" s="8"/>
    </row>
    <row r="231" spans="1:6" s="9" customFormat="1" ht="15" customHeight="1" x14ac:dyDescent="0.2">
      <c r="A231" s="8"/>
      <c r="B231" s="8"/>
      <c r="C231" s="8"/>
      <c r="F231" s="8"/>
    </row>
    <row r="232" spans="1:6" s="9" customFormat="1" ht="15" customHeight="1" x14ac:dyDescent="0.2">
      <c r="A232" s="8"/>
      <c r="B232" s="8"/>
      <c r="C232" s="8"/>
      <c r="F232" s="8"/>
    </row>
    <row r="233" spans="1:6" s="9" customFormat="1" ht="15" customHeight="1" x14ac:dyDescent="0.2">
      <c r="A233" s="8"/>
      <c r="B233" s="8"/>
      <c r="C233" s="8"/>
      <c r="F233" s="8"/>
    </row>
    <row r="234" spans="1:6" s="9" customFormat="1" ht="15" customHeight="1" x14ac:dyDescent="0.2">
      <c r="A234" s="8"/>
      <c r="B234" s="8"/>
      <c r="C234" s="8"/>
      <c r="F234" s="8"/>
    </row>
    <row r="235" spans="1:6" s="9" customFormat="1" ht="15" customHeight="1" x14ac:dyDescent="0.2">
      <c r="A235" s="8"/>
      <c r="B235" s="8"/>
      <c r="C235" s="8"/>
      <c r="F235" s="8"/>
    </row>
    <row r="236" spans="1:6" s="9" customFormat="1" ht="15" customHeight="1" x14ac:dyDescent="0.2">
      <c r="A236" s="8"/>
      <c r="B236" s="8"/>
      <c r="C236" s="8"/>
      <c r="F236" s="8"/>
    </row>
    <row r="237" spans="1:6" s="9" customFormat="1" ht="15" customHeight="1" x14ac:dyDescent="0.2">
      <c r="A237" s="8"/>
      <c r="B237" s="8"/>
      <c r="C237" s="8"/>
      <c r="F237" s="8"/>
    </row>
    <row r="238" spans="1:6" s="9" customFormat="1" ht="15" customHeight="1" x14ac:dyDescent="0.2">
      <c r="A238" s="8"/>
      <c r="B238" s="8"/>
      <c r="C238" s="8"/>
      <c r="F238" s="8"/>
    </row>
    <row r="239" spans="1:6" s="9" customFormat="1" ht="15" customHeight="1" x14ac:dyDescent="0.2">
      <c r="A239" s="8"/>
      <c r="B239" s="8"/>
      <c r="C239" s="8"/>
      <c r="F239" s="8"/>
    </row>
    <row r="240" spans="1:6" s="9" customFormat="1" ht="15" customHeight="1" x14ac:dyDescent="0.2">
      <c r="A240" s="8"/>
      <c r="B240" s="8"/>
      <c r="C240" s="8"/>
      <c r="F240" s="8"/>
    </row>
    <row r="241" spans="1:6" s="9" customFormat="1" ht="15" customHeight="1" x14ac:dyDescent="0.2">
      <c r="A241" s="8"/>
      <c r="B241" s="8"/>
      <c r="C241" s="8"/>
      <c r="F241" s="8"/>
    </row>
    <row r="242" spans="1:6" s="9" customFormat="1" ht="15" customHeight="1" x14ac:dyDescent="0.2">
      <c r="A242" s="8"/>
      <c r="B242" s="8"/>
      <c r="C242" s="8"/>
      <c r="F242" s="8"/>
    </row>
    <row r="243" spans="1:6" s="9" customFormat="1" ht="15" customHeight="1" x14ac:dyDescent="0.2">
      <c r="A243" s="8"/>
      <c r="B243" s="8"/>
      <c r="C243" s="8"/>
      <c r="F243" s="8"/>
    </row>
    <row r="244" spans="1:6" s="9" customFormat="1" ht="15" customHeight="1" x14ac:dyDescent="0.2">
      <c r="A244" s="8"/>
      <c r="B244" s="8"/>
      <c r="C244" s="8"/>
      <c r="F244" s="8"/>
    </row>
    <row r="245" spans="1:6" s="9" customFormat="1" ht="15" customHeight="1" x14ac:dyDescent="0.2">
      <c r="A245" s="8"/>
      <c r="B245" s="8"/>
      <c r="C245" s="8"/>
      <c r="F245" s="8"/>
    </row>
    <row r="246" spans="1:6" s="9" customFormat="1" ht="15" customHeight="1" x14ac:dyDescent="0.2">
      <c r="A246" s="8"/>
      <c r="B246" s="8"/>
      <c r="C246" s="8"/>
      <c r="F246" s="8"/>
    </row>
    <row r="247" spans="1:6" s="9" customFormat="1" ht="15" customHeight="1" x14ac:dyDescent="0.2">
      <c r="A247" s="8"/>
      <c r="B247" s="8"/>
      <c r="C247" s="8"/>
      <c r="F247" s="8"/>
    </row>
    <row r="248" spans="1:6" s="9" customFormat="1" ht="15" customHeight="1" x14ac:dyDescent="0.2">
      <c r="A248" s="8"/>
      <c r="B248" s="8"/>
      <c r="C248" s="8"/>
      <c r="F248" s="8"/>
    </row>
    <row r="249" spans="1:6" s="9" customFormat="1" ht="15" customHeight="1" x14ac:dyDescent="0.2">
      <c r="A249" s="8"/>
      <c r="B249" s="8"/>
      <c r="C249" s="8"/>
      <c r="F249" s="8"/>
    </row>
    <row r="250" spans="1:6" s="9" customFormat="1" ht="15" customHeight="1" x14ac:dyDescent="0.2">
      <c r="A250" s="8"/>
      <c r="B250" s="8"/>
      <c r="C250" s="8"/>
      <c r="F250" s="8"/>
    </row>
    <row r="251" spans="1:6" s="9" customFormat="1" ht="15" customHeight="1" x14ac:dyDescent="0.2">
      <c r="A251" s="8"/>
      <c r="B251" s="8"/>
      <c r="C251" s="8"/>
      <c r="F251" s="8"/>
    </row>
    <row r="252" spans="1:6" s="9" customFormat="1" ht="15" customHeight="1" x14ac:dyDescent="0.2">
      <c r="A252" s="8"/>
      <c r="B252" s="8"/>
      <c r="C252" s="8"/>
      <c r="F252" s="8"/>
    </row>
    <row r="253" spans="1:6" s="9" customFormat="1" ht="15" customHeight="1" x14ac:dyDescent="0.2">
      <c r="A253" s="8"/>
      <c r="B253" s="8"/>
      <c r="C253" s="8"/>
      <c r="F253" s="8"/>
    </row>
    <row r="254" spans="1:6" s="9" customFormat="1" ht="15" customHeight="1" x14ac:dyDescent="0.2">
      <c r="A254" s="8"/>
      <c r="B254" s="8"/>
      <c r="C254" s="8"/>
      <c r="F254" s="8"/>
    </row>
    <row r="255" spans="1:6" s="9" customFormat="1" ht="15" customHeight="1" x14ac:dyDescent="0.2">
      <c r="A255" s="8"/>
      <c r="B255" s="8"/>
      <c r="C255" s="8"/>
      <c r="F255" s="8"/>
    </row>
    <row r="256" spans="1:6" s="9" customFormat="1" ht="15" customHeight="1" x14ac:dyDescent="0.2">
      <c r="A256" s="8"/>
      <c r="B256" s="8"/>
      <c r="C256" s="8"/>
      <c r="F256" s="8"/>
    </row>
    <row r="257" spans="1:6" s="9" customFormat="1" ht="15" customHeight="1" x14ac:dyDescent="0.2">
      <c r="A257" s="8"/>
      <c r="B257" s="8"/>
      <c r="C257" s="8"/>
      <c r="F257" s="8"/>
    </row>
    <row r="258" spans="1:6" s="9" customFormat="1" ht="15" customHeight="1" x14ac:dyDescent="0.2">
      <c r="A258" s="8"/>
      <c r="B258" s="8"/>
      <c r="C258" s="8"/>
      <c r="F258" s="8"/>
    </row>
    <row r="259" spans="1:6" s="9" customFormat="1" ht="15" customHeight="1" x14ac:dyDescent="0.2">
      <c r="A259" s="8"/>
      <c r="B259" s="8"/>
      <c r="C259" s="8"/>
      <c r="F259" s="8"/>
    </row>
    <row r="260" spans="1:6" s="9" customFormat="1" ht="15" customHeight="1" x14ac:dyDescent="0.2">
      <c r="A260" s="8"/>
      <c r="B260" s="8"/>
      <c r="C260" s="8"/>
      <c r="F260" s="8"/>
    </row>
    <row r="261" spans="1:6" s="9" customFormat="1" ht="15" customHeight="1" x14ac:dyDescent="0.2">
      <c r="A261" s="8"/>
      <c r="B261" s="8"/>
      <c r="C261" s="8"/>
      <c r="F261" s="8"/>
    </row>
    <row r="262" spans="1:6" s="9" customFormat="1" ht="15" customHeight="1" x14ac:dyDescent="0.2">
      <c r="A262" s="8"/>
      <c r="B262" s="8"/>
      <c r="C262" s="8"/>
      <c r="F262" s="8"/>
    </row>
    <row r="263" spans="1:6" s="9" customFormat="1" ht="15" customHeight="1" x14ac:dyDescent="0.2">
      <c r="A263" s="8"/>
      <c r="B263" s="8"/>
      <c r="C263" s="8"/>
      <c r="F263" s="8"/>
    </row>
    <row r="264" spans="1:6" s="9" customFormat="1" ht="15" customHeight="1" x14ac:dyDescent="0.2">
      <c r="A264" s="8"/>
      <c r="B264" s="8"/>
      <c r="C264" s="8"/>
      <c r="F264" s="8"/>
    </row>
    <row r="265" spans="1:6" s="9" customFormat="1" ht="15" customHeight="1" x14ac:dyDescent="0.2">
      <c r="A265" s="8"/>
      <c r="B265" s="8"/>
      <c r="C265" s="8"/>
      <c r="F265" s="8"/>
    </row>
    <row r="266" spans="1:6" s="9" customFormat="1" ht="15" customHeight="1" x14ac:dyDescent="0.2">
      <c r="A266" s="8"/>
      <c r="B266" s="8"/>
      <c r="C266" s="8"/>
      <c r="F266" s="8"/>
    </row>
    <row r="267" spans="1:6" s="9" customFormat="1" ht="15" customHeight="1" x14ac:dyDescent="0.2">
      <c r="A267" s="8"/>
      <c r="B267" s="8"/>
      <c r="C267" s="8"/>
      <c r="F267" s="8"/>
    </row>
    <row r="268" spans="1:6" s="9" customFormat="1" ht="15" customHeight="1" x14ac:dyDescent="0.2">
      <c r="A268" s="8"/>
      <c r="B268" s="8"/>
      <c r="C268" s="8"/>
      <c r="F268" s="8"/>
    </row>
    <row r="269" spans="1:6" s="9" customFormat="1" ht="15" customHeight="1" x14ac:dyDescent="0.2">
      <c r="A269" s="8"/>
      <c r="B269" s="8"/>
      <c r="C269" s="8"/>
      <c r="F269" s="8"/>
    </row>
    <row r="270" spans="1:6" s="9" customFormat="1" ht="15" customHeight="1" x14ac:dyDescent="0.2">
      <c r="A270" s="8"/>
      <c r="B270" s="8"/>
      <c r="C270" s="8"/>
      <c r="F270" s="8"/>
    </row>
    <row r="271" spans="1:6" s="9" customFormat="1" ht="15" customHeight="1" x14ac:dyDescent="0.2">
      <c r="A271" s="8"/>
      <c r="B271" s="8"/>
      <c r="C271" s="8"/>
      <c r="F271" s="8"/>
    </row>
    <row r="272" spans="1:6" s="9" customFormat="1" ht="15" customHeight="1" x14ac:dyDescent="0.2">
      <c r="A272" s="8"/>
      <c r="B272" s="8"/>
      <c r="C272" s="8"/>
      <c r="F272" s="8"/>
    </row>
    <row r="273" spans="1:6" s="9" customFormat="1" ht="15" customHeight="1" x14ac:dyDescent="0.2">
      <c r="A273" s="8"/>
      <c r="B273" s="8"/>
      <c r="C273" s="8"/>
      <c r="F273" s="8"/>
    </row>
    <row r="274" spans="1:6" s="9" customFormat="1" ht="15" customHeight="1" x14ac:dyDescent="0.2">
      <c r="A274" s="8"/>
      <c r="B274" s="8"/>
      <c r="C274" s="8"/>
      <c r="F274" s="8"/>
    </row>
    <row r="275" spans="1:6" s="9" customFormat="1" ht="15" customHeight="1" x14ac:dyDescent="0.2">
      <c r="A275" s="8"/>
      <c r="B275" s="8"/>
      <c r="C275" s="8"/>
      <c r="F275" s="8"/>
    </row>
    <row r="276" spans="1:6" s="9" customFormat="1" ht="15" customHeight="1" x14ac:dyDescent="0.2">
      <c r="A276" s="8"/>
      <c r="B276" s="8"/>
      <c r="C276" s="8"/>
      <c r="F276" s="8"/>
    </row>
    <row r="277" spans="1:6" s="9" customFormat="1" ht="15" customHeight="1" x14ac:dyDescent="0.2">
      <c r="A277" s="8"/>
      <c r="B277" s="8"/>
      <c r="C277" s="8"/>
      <c r="F277" s="8"/>
    </row>
    <row r="278" spans="1:6" s="9" customFormat="1" ht="15" customHeight="1" x14ac:dyDescent="0.2">
      <c r="A278" s="8"/>
      <c r="B278" s="8"/>
      <c r="C278" s="8"/>
      <c r="F278" s="8"/>
    </row>
    <row r="279" spans="1:6" s="9" customFormat="1" ht="15" customHeight="1" x14ac:dyDescent="0.2">
      <c r="A279" s="8"/>
      <c r="B279" s="8"/>
      <c r="C279" s="8"/>
      <c r="F279" s="8"/>
    </row>
    <row r="280" spans="1:6" s="9" customFormat="1" ht="15" customHeight="1" x14ac:dyDescent="0.2">
      <c r="A280" s="8"/>
      <c r="B280" s="8"/>
      <c r="C280" s="8"/>
      <c r="F280" s="8"/>
    </row>
    <row r="281" spans="1:6" s="9" customFormat="1" ht="15" customHeight="1" x14ac:dyDescent="0.2">
      <c r="A281" s="8"/>
      <c r="B281" s="8"/>
      <c r="C281" s="8"/>
      <c r="F281" s="8"/>
    </row>
    <row r="282" spans="1:6" s="9" customFormat="1" ht="15" customHeight="1" x14ac:dyDescent="0.2">
      <c r="A282" s="8"/>
      <c r="B282" s="8"/>
      <c r="C282" s="8"/>
      <c r="F282" s="8"/>
    </row>
    <row r="283" spans="1:6" s="9" customFormat="1" ht="15" customHeight="1" x14ac:dyDescent="0.2">
      <c r="A283" s="8"/>
      <c r="B283" s="8"/>
      <c r="C283" s="8"/>
      <c r="F283" s="8"/>
    </row>
    <row r="284" spans="1:6" s="9" customFormat="1" ht="15" customHeight="1" x14ac:dyDescent="0.2">
      <c r="A284" s="8"/>
      <c r="B284" s="8"/>
      <c r="C284" s="8"/>
      <c r="F284" s="8"/>
    </row>
    <row r="285" spans="1:6" s="9" customFormat="1" ht="15" customHeight="1" x14ac:dyDescent="0.2">
      <c r="A285" s="8"/>
      <c r="B285" s="8"/>
      <c r="C285" s="8"/>
      <c r="F285" s="8"/>
    </row>
    <row r="286" spans="1:6" s="9" customFormat="1" ht="15" customHeight="1" x14ac:dyDescent="0.2">
      <c r="A286" s="8"/>
      <c r="B286" s="8"/>
      <c r="C286" s="8"/>
      <c r="F286" s="8"/>
    </row>
    <row r="287" spans="1:6" s="9" customFormat="1" ht="15" customHeight="1" x14ac:dyDescent="0.2">
      <c r="A287" s="8"/>
      <c r="B287" s="8"/>
      <c r="C287" s="8"/>
      <c r="F287" s="8"/>
    </row>
    <row r="288" spans="1:6" s="9" customFormat="1" ht="15" customHeight="1" x14ac:dyDescent="0.2">
      <c r="A288" s="8"/>
      <c r="B288" s="8"/>
      <c r="C288" s="8"/>
      <c r="F288" s="8"/>
    </row>
    <row r="289" spans="1:6" s="9" customFormat="1" ht="15" customHeight="1" x14ac:dyDescent="0.2">
      <c r="A289" s="8"/>
      <c r="B289" s="8"/>
      <c r="C289" s="8"/>
      <c r="F289" s="8"/>
    </row>
    <row r="290" spans="1:6" s="9" customFormat="1" ht="15" customHeight="1" x14ac:dyDescent="0.2">
      <c r="A290" s="8"/>
      <c r="B290" s="8"/>
      <c r="C290" s="8"/>
      <c r="F290" s="8"/>
    </row>
    <row r="291" spans="1:6" s="9" customFormat="1" ht="15" customHeight="1" x14ac:dyDescent="0.2">
      <c r="A291" s="8"/>
      <c r="B291" s="8"/>
      <c r="C291" s="8"/>
      <c r="F291" s="8"/>
    </row>
    <row r="292" spans="1:6" s="9" customFormat="1" ht="15" customHeight="1" x14ac:dyDescent="0.2">
      <c r="A292" s="8"/>
      <c r="B292" s="8"/>
      <c r="C292" s="8"/>
      <c r="F292" s="8"/>
    </row>
    <row r="293" spans="1:6" s="9" customFormat="1" ht="15" customHeight="1" x14ac:dyDescent="0.2">
      <c r="A293" s="8"/>
      <c r="B293" s="8"/>
      <c r="C293" s="8"/>
      <c r="F293" s="8"/>
    </row>
    <row r="294" spans="1:6" s="9" customFormat="1" ht="15" customHeight="1" x14ac:dyDescent="0.2">
      <c r="A294" s="8"/>
      <c r="B294" s="8"/>
      <c r="C294" s="8"/>
      <c r="F294" s="8"/>
    </row>
    <row r="295" spans="1:6" s="9" customFormat="1" ht="15" customHeight="1" x14ac:dyDescent="0.2">
      <c r="A295" s="8"/>
      <c r="B295" s="8"/>
      <c r="C295" s="8"/>
      <c r="F295" s="8"/>
    </row>
    <row r="296" spans="1:6" s="9" customFormat="1" ht="15" customHeight="1" x14ac:dyDescent="0.2">
      <c r="A296" s="8"/>
      <c r="B296" s="8"/>
      <c r="C296" s="8"/>
      <c r="F296" s="8"/>
    </row>
    <row r="297" spans="1:6" s="9" customFormat="1" ht="15" customHeight="1" x14ac:dyDescent="0.2">
      <c r="A297" s="8"/>
      <c r="B297" s="8"/>
      <c r="C297" s="8"/>
      <c r="F297" s="8"/>
    </row>
    <row r="298" spans="1:6" s="9" customFormat="1" ht="15" customHeight="1" x14ac:dyDescent="0.2">
      <c r="A298" s="8"/>
      <c r="B298" s="8"/>
      <c r="C298" s="8"/>
      <c r="F298" s="8"/>
    </row>
    <row r="299" spans="1:6" s="9" customFormat="1" ht="15" customHeight="1" x14ac:dyDescent="0.2">
      <c r="A299" s="8"/>
      <c r="B299" s="8"/>
      <c r="C299" s="8"/>
      <c r="F299" s="8"/>
    </row>
    <row r="300" spans="1:6" s="9" customFormat="1" ht="15" customHeight="1" x14ac:dyDescent="0.2">
      <c r="A300" s="8"/>
      <c r="B300" s="8"/>
      <c r="C300" s="8"/>
      <c r="F300" s="8"/>
    </row>
    <row r="301" spans="1:6" s="9" customFormat="1" ht="15" customHeight="1" x14ac:dyDescent="0.2">
      <c r="A301" s="8"/>
      <c r="B301" s="8"/>
      <c r="C301" s="8"/>
      <c r="F301" s="8"/>
    </row>
    <row r="302" spans="1:6" s="9" customFormat="1" ht="15" customHeight="1" x14ac:dyDescent="0.2">
      <c r="A302" s="8"/>
      <c r="B302" s="8"/>
      <c r="C302" s="8"/>
      <c r="F302" s="8"/>
    </row>
    <row r="303" spans="1:6" s="9" customFormat="1" ht="15" customHeight="1" x14ac:dyDescent="0.2">
      <c r="A303" s="8"/>
      <c r="B303" s="8"/>
      <c r="C303" s="8"/>
      <c r="F303" s="8"/>
    </row>
    <row r="304" spans="1:6" s="9" customFormat="1" ht="15" customHeight="1" x14ac:dyDescent="0.2">
      <c r="A304" s="8"/>
      <c r="B304" s="8"/>
      <c r="C304" s="8"/>
      <c r="F304" s="8"/>
    </row>
    <row r="305" spans="1:6" s="9" customFormat="1" ht="15" customHeight="1" x14ac:dyDescent="0.2">
      <c r="A305" s="8"/>
      <c r="B305" s="8"/>
      <c r="C305" s="8"/>
      <c r="F305" s="8"/>
    </row>
    <row r="306" spans="1:6" s="9" customFormat="1" ht="15" customHeight="1" x14ac:dyDescent="0.2">
      <c r="A306" s="8"/>
      <c r="B306" s="8"/>
      <c r="C306" s="8"/>
      <c r="F306" s="8"/>
    </row>
    <row r="307" spans="1:6" s="9" customFormat="1" ht="15" customHeight="1" x14ac:dyDescent="0.2">
      <c r="A307" s="8"/>
      <c r="B307" s="8"/>
      <c r="C307" s="8"/>
      <c r="F307" s="8"/>
    </row>
    <row r="308" spans="1:6" s="9" customFormat="1" ht="15" customHeight="1" x14ac:dyDescent="0.2">
      <c r="A308" s="8"/>
      <c r="B308" s="8"/>
      <c r="C308" s="8"/>
      <c r="F308" s="8"/>
    </row>
    <row r="309" spans="1:6" s="9" customFormat="1" ht="15" customHeight="1" x14ac:dyDescent="0.2">
      <c r="A309" s="8"/>
      <c r="B309" s="8"/>
      <c r="C309" s="8"/>
      <c r="F309" s="8"/>
    </row>
    <row r="310" spans="1:6" s="9" customFormat="1" ht="15" customHeight="1" x14ac:dyDescent="0.2">
      <c r="A310" s="8"/>
      <c r="B310" s="8"/>
      <c r="C310" s="8"/>
      <c r="F310" s="8"/>
    </row>
    <row r="311" spans="1:6" s="9" customFormat="1" ht="15" customHeight="1" x14ac:dyDescent="0.2">
      <c r="A311" s="8"/>
      <c r="B311" s="8"/>
      <c r="C311" s="8"/>
      <c r="F311" s="8"/>
    </row>
    <row r="312" spans="1:6" s="9" customFormat="1" ht="15" customHeight="1" x14ac:dyDescent="0.2">
      <c r="A312" s="8"/>
      <c r="B312" s="8"/>
      <c r="C312" s="8"/>
      <c r="F312" s="8"/>
    </row>
    <row r="313" spans="1:6" s="9" customFormat="1" ht="15" customHeight="1" x14ac:dyDescent="0.2">
      <c r="A313" s="8"/>
      <c r="B313" s="8"/>
      <c r="C313" s="8"/>
      <c r="F313" s="8"/>
    </row>
    <row r="314" spans="1:6" s="9" customFormat="1" ht="15" customHeight="1" x14ac:dyDescent="0.2">
      <c r="A314" s="8"/>
      <c r="B314" s="8"/>
      <c r="C314" s="8"/>
      <c r="F314" s="8"/>
    </row>
    <row r="315" spans="1:6" s="9" customFormat="1" ht="15" customHeight="1" x14ac:dyDescent="0.2">
      <c r="A315" s="8"/>
      <c r="B315" s="8"/>
      <c r="C315" s="8"/>
      <c r="F315" s="8"/>
    </row>
    <row r="316" spans="1:6" s="9" customFormat="1" ht="15" customHeight="1" x14ac:dyDescent="0.2">
      <c r="A316" s="8"/>
      <c r="B316" s="8"/>
      <c r="C316" s="8"/>
      <c r="F316" s="8"/>
    </row>
    <row r="317" spans="1:6" s="9" customFormat="1" ht="15" customHeight="1" x14ac:dyDescent="0.2">
      <c r="A317" s="8"/>
      <c r="B317" s="8"/>
      <c r="C317" s="8"/>
      <c r="F317" s="8"/>
    </row>
    <row r="318" spans="1:6" s="9" customFormat="1" ht="15" customHeight="1" x14ac:dyDescent="0.2">
      <c r="A318" s="8"/>
      <c r="B318" s="8"/>
      <c r="C318" s="8"/>
      <c r="F318" s="8"/>
    </row>
    <row r="319" spans="1:6" s="9" customFormat="1" ht="15" customHeight="1" x14ac:dyDescent="0.2">
      <c r="A319" s="8"/>
      <c r="B319" s="8"/>
      <c r="C319" s="8"/>
      <c r="F319" s="8"/>
    </row>
    <row r="320" spans="1:6" s="9" customFormat="1" ht="15" customHeight="1" x14ac:dyDescent="0.2">
      <c r="A320" s="8"/>
      <c r="B320" s="8"/>
      <c r="C320" s="8"/>
      <c r="F320" s="8"/>
    </row>
    <row r="321" spans="1:6" s="9" customFormat="1" ht="15" customHeight="1" x14ac:dyDescent="0.2">
      <c r="A321" s="8"/>
      <c r="B321" s="8"/>
      <c r="C321" s="8"/>
      <c r="F321" s="8"/>
    </row>
    <row r="322" spans="1:6" s="9" customFormat="1" ht="15" customHeight="1" x14ac:dyDescent="0.2">
      <c r="A322" s="8"/>
      <c r="B322" s="8"/>
      <c r="C322" s="8"/>
      <c r="F322" s="8"/>
    </row>
    <row r="323" spans="1:6" s="9" customFormat="1" ht="15" customHeight="1" x14ac:dyDescent="0.2">
      <c r="A323" s="8"/>
      <c r="B323" s="8"/>
      <c r="C323" s="8"/>
      <c r="F323" s="8"/>
    </row>
    <row r="324" spans="1:6" s="9" customFormat="1" ht="15" customHeight="1" x14ac:dyDescent="0.2">
      <c r="A324" s="8"/>
      <c r="B324" s="8"/>
      <c r="C324" s="8"/>
      <c r="F324" s="8"/>
    </row>
    <row r="325" spans="1:6" s="9" customFormat="1" ht="15" customHeight="1" x14ac:dyDescent="0.2">
      <c r="A325" s="8"/>
      <c r="B325" s="8"/>
      <c r="C325" s="8"/>
      <c r="F325" s="8"/>
    </row>
    <row r="326" spans="1:6" s="9" customFormat="1" ht="15" customHeight="1" x14ac:dyDescent="0.2">
      <c r="A326" s="8"/>
      <c r="B326" s="8"/>
      <c r="C326" s="8"/>
      <c r="F326" s="8"/>
    </row>
    <row r="327" spans="1:6" s="9" customFormat="1" ht="15" customHeight="1" x14ac:dyDescent="0.2">
      <c r="A327" s="8"/>
      <c r="B327" s="8"/>
      <c r="C327" s="8"/>
      <c r="F327" s="8"/>
    </row>
    <row r="328" spans="1:6" s="9" customFormat="1" ht="15" customHeight="1" x14ac:dyDescent="0.2">
      <c r="A328" s="8"/>
      <c r="B328" s="8"/>
      <c r="C328" s="8"/>
      <c r="F328" s="8"/>
    </row>
    <row r="329" spans="1:6" s="9" customFormat="1" ht="15" customHeight="1" x14ac:dyDescent="0.2">
      <c r="A329" s="8"/>
      <c r="B329" s="8"/>
      <c r="C329" s="8"/>
      <c r="F329" s="8"/>
    </row>
    <row r="330" spans="1:6" s="9" customFormat="1" ht="15" customHeight="1" x14ac:dyDescent="0.2">
      <c r="A330" s="8"/>
      <c r="B330" s="8"/>
      <c r="C330" s="8"/>
      <c r="F330" s="8"/>
    </row>
    <row r="331" spans="1:6" s="9" customFormat="1" ht="15" customHeight="1" x14ac:dyDescent="0.2">
      <c r="A331" s="8"/>
      <c r="B331" s="8"/>
      <c r="C331" s="8"/>
      <c r="F331" s="8"/>
    </row>
    <row r="332" spans="1:6" s="9" customFormat="1" ht="15" customHeight="1" x14ac:dyDescent="0.2">
      <c r="A332" s="8"/>
      <c r="B332" s="8"/>
      <c r="C332" s="8"/>
      <c r="F332" s="8"/>
    </row>
    <row r="333" spans="1:6" s="9" customFormat="1" ht="15" customHeight="1" x14ac:dyDescent="0.2">
      <c r="A333" s="8"/>
      <c r="B333" s="8"/>
      <c r="C333" s="8"/>
      <c r="F333" s="8"/>
    </row>
    <row r="334" spans="1:6" s="9" customFormat="1" ht="15" customHeight="1" x14ac:dyDescent="0.2">
      <c r="A334" s="8"/>
      <c r="B334" s="8"/>
      <c r="C334" s="8"/>
      <c r="F334" s="8"/>
    </row>
    <row r="335" spans="1:6" s="9" customFormat="1" ht="15" customHeight="1" x14ac:dyDescent="0.2">
      <c r="A335" s="8"/>
      <c r="B335" s="8"/>
      <c r="C335" s="8"/>
      <c r="F335" s="8"/>
    </row>
    <row r="336" spans="1:6" s="9" customFormat="1" ht="15" customHeight="1" x14ac:dyDescent="0.2">
      <c r="A336" s="8"/>
      <c r="B336" s="8"/>
      <c r="C336" s="8"/>
      <c r="F336" s="8"/>
    </row>
    <row r="337" spans="1:6" s="9" customFormat="1" ht="15" customHeight="1" x14ac:dyDescent="0.2">
      <c r="A337" s="8"/>
      <c r="B337" s="8"/>
      <c r="C337" s="8"/>
      <c r="F337" s="8"/>
    </row>
    <row r="338" spans="1:6" s="9" customFormat="1" ht="15" customHeight="1" x14ac:dyDescent="0.2">
      <c r="A338" s="8"/>
      <c r="B338" s="8"/>
      <c r="C338" s="8"/>
      <c r="F338" s="8"/>
    </row>
    <row r="339" spans="1:6" s="9" customFormat="1" ht="15" customHeight="1" x14ac:dyDescent="0.2">
      <c r="A339" s="8"/>
      <c r="B339" s="8"/>
      <c r="C339" s="8"/>
      <c r="F339" s="8"/>
    </row>
    <row r="340" spans="1:6" s="9" customFormat="1" ht="15" customHeight="1" x14ac:dyDescent="0.2">
      <c r="A340" s="8"/>
      <c r="B340" s="8"/>
      <c r="C340" s="8"/>
      <c r="F340" s="8"/>
    </row>
    <row r="341" spans="1:6" s="9" customFormat="1" ht="15" customHeight="1" x14ac:dyDescent="0.2">
      <c r="A341" s="8"/>
      <c r="B341" s="8"/>
      <c r="C341" s="8"/>
      <c r="F341" s="8"/>
    </row>
    <row r="342" spans="1:6" s="9" customFormat="1" ht="15" customHeight="1" x14ac:dyDescent="0.2">
      <c r="A342" s="8"/>
      <c r="B342" s="8"/>
      <c r="C342" s="8"/>
      <c r="F342" s="8"/>
    </row>
    <row r="343" spans="1:6" s="9" customFormat="1" ht="15" customHeight="1" x14ac:dyDescent="0.2">
      <c r="A343" s="8"/>
      <c r="B343" s="8"/>
      <c r="C343" s="8"/>
      <c r="F343" s="8"/>
    </row>
    <row r="344" spans="1:6" s="9" customFormat="1" ht="15" customHeight="1" x14ac:dyDescent="0.2">
      <c r="A344" s="8"/>
      <c r="B344" s="8"/>
      <c r="C344" s="8"/>
      <c r="F344" s="8"/>
    </row>
    <row r="345" spans="1:6" s="9" customFormat="1" ht="15" customHeight="1" x14ac:dyDescent="0.2">
      <c r="A345" s="8"/>
      <c r="B345" s="8"/>
      <c r="C345" s="8"/>
      <c r="F345" s="8"/>
    </row>
    <row r="346" spans="1:6" s="9" customFormat="1" ht="15" customHeight="1" x14ac:dyDescent="0.2">
      <c r="A346" s="8"/>
      <c r="B346" s="8"/>
      <c r="C346" s="8"/>
      <c r="F346" s="8"/>
    </row>
    <row r="347" spans="1:6" s="9" customFormat="1" ht="15" customHeight="1" x14ac:dyDescent="0.2">
      <c r="A347" s="8"/>
      <c r="B347" s="8"/>
      <c r="C347" s="8"/>
      <c r="F347" s="8"/>
    </row>
    <row r="348" spans="1:6" s="9" customFormat="1" ht="15" customHeight="1" x14ac:dyDescent="0.2">
      <c r="A348" s="8"/>
      <c r="B348" s="8"/>
      <c r="C348" s="8"/>
      <c r="F348" s="8"/>
    </row>
    <row r="349" spans="1:6" s="9" customFormat="1" ht="15" customHeight="1" x14ac:dyDescent="0.2">
      <c r="A349" s="8"/>
      <c r="B349" s="8"/>
      <c r="C349" s="8"/>
      <c r="F349" s="8"/>
    </row>
    <row r="350" spans="1:6" s="9" customFormat="1" ht="15" customHeight="1" x14ac:dyDescent="0.2">
      <c r="A350" s="8"/>
      <c r="B350" s="8"/>
      <c r="C350" s="8"/>
      <c r="F350" s="8"/>
    </row>
    <row r="351" spans="1:6" s="9" customFormat="1" ht="15" customHeight="1" x14ac:dyDescent="0.2">
      <c r="A351" s="8"/>
      <c r="B351" s="8"/>
      <c r="C351" s="8"/>
      <c r="F351" s="8"/>
    </row>
    <row r="352" spans="1:6" s="9" customFormat="1" ht="15" customHeight="1" x14ac:dyDescent="0.2">
      <c r="A352" s="8"/>
      <c r="B352" s="8"/>
      <c r="C352" s="8"/>
      <c r="F352" s="8"/>
    </row>
    <row r="353" spans="1:6" s="9" customFormat="1" ht="15" customHeight="1" x14ac:dyDescent="0.2">
      <c r="A353" s="8"/>
      <c r="B353" s="8"/>
      <c r="C353" s="8"/>
      <c r="F353" s="8"/>
    </row>
    <row r="354" spans="1:6" s="9" customFormat="1" ht="15" customHeight="1" x14ac:dyDescent="0.2">
      <c r="A354" s="8"/>
      <c r="B354" s="8"/>
      <c r="C354" s="8"/>
      <c r="F354" s="8"/>
    </row>
    <row r="355" spans="1:6" s="9" customFormat="1" ht="15" customHeight="1" x14ac:dyDescent="0.2">
      <c r="A355" s="8"/>
      <c r="B355" s="8"/>
      <c r="C355" s="8"/>
      <c r="F355" s="8"/>
    </row>
    <row r="356" spans="1:6" s="9" customFormat="1" ht="15" customHeight="1" x14ac:dyDescent="0.2">
      <c r="A356" s="8"/>
      <c r="B356" s="8"/>
      <c r="C356" s="8"/>
      <c r="F356" s="8"/>
    </row>
    <row r="357" spans="1:6" s="9" customFormat="1" ht="15" customHeight="1" x14ac:dyDescent="0.2">
      <c r="A357" s="8"/>
      <c r="B357" s="8"/>
      <c r="C357" s="8"/>
      <c r="F357" s="8"/>
    </row>
    <row r="358" spans="1:6" s="9" customFormat="1" ht="15" customHeight="1" x14ac:dyDescent="0.2">
      <c r="A358" s="8"/>
      <c r="B358" s="8"/>
      <c r="C358" s="8"/>
      <c r="F358" s="8"/>
    </row>
    <row r="359" spans="1:6" s="9" customFormat="1" ht="15" customHeight="1" x14ac:dyDescent="0.2">
      <c r="A359" s="8"/>
      <c r="B359" s="8"/>
      <c r="C359" s="8"/>
      <c r="F359" s="8"/>
    </row>
    <row r="360" spans="1:6" s="9" customFormat="1" ht="15" customHeight="1" x14ac:dyDescent="0.2">
      <c r="A360" s="8"/>
      <c r="B360" s="8"/>
      <c r="C360" s="8"/>
      <c r="F360" s="8"/>
    </row>
    <row r="361" spans="1:6" s="9" customFormat="1" ht="15" customHeight="1" x14ac:dyDescent="0.2">
      <c r="A361" s="8"/>
      <c r="B361" s="8"/>
      <c r="C361" s="8"/>
      <c r="F361" s="8"/>
    </row>
    <row r="362" spans="1:6" s="9" customFormat="1" ht="15" customHeight="1" x14ac:dyDescent="0.2">
      <c r="A362" s="8"/>
      <c r="B362" s="8"/>
      <c r="C362" s="8"/>
      <c r="F362" s="8"/>
    </row>
    <row r="363" spans="1:6" s="9" customFormat="1" ht="15" customHeight="1" x14ac:dyDescent="0.2">
      <c r="A363" s="8"/>
      <c r="B363" s="8"/>
      <c r="C363" s="8"/>
      <c r="F363" s="8"/>
    </row>
    <row r="364" spans="1:6" s="9" customFormat="1" ht="15" customHeight="1" x14ac:dyDescent="0.2">
      <c r="A364" s="8"/>
      <c r="B364" s="8"/>
      <c r="C364" s="8"/>
      <c r="F364" s="8"/>
    </row>
    <row r="365" spans="1:6" s="9" customFormat="1" ht="15" customHeight="1" x14ac:dyDescent="0.2">
      <c r="A365" s="8"/>
      <c r="B365" s="8"/>
      <c r="C365" s="8"/>
      <c r="F365" s="8"/>
    </row>
    <row r="366" spans="1:6" s="9" customFormat="1" ht="15" customHeight="1" x14ac:dyDescent="0.2">
      <c r="A366" s="8"/>
      <c r="B366" s="8"/>
      <c r="C366" s="8"/>
      <c r="F366" s="8"/>
    </row>
    <row r="367" spans="1:6" s="9" customFormat="1" ht="15" customHeight="1" x14ac:dyDescent="0.2">
      <c r="A367" s="8"/>
      <c r="B367" s="8"/>
      <c r="C367" s="8"/>
      <c r="F367" s="8"/>
    </row>
    <row r="368" spans="1:6" s="9" customFormat="1" ht="15" customHeight="1" x14ac:dyDescent="0.2">
      <c r="A368" s="8"/>
      <c r="B368" s="8"/>
      <c r="C368" s="8"/>
      <c r="F368" s="8"/>
    </row>
    <row r="369" spans="1:6" s="9" customFormat="1" ht="15" customHeight="1" x14ac:dyDescent="0.2">
      <c r="A369" s="8"/>
      <c r="B369" s="8"/>
      <c r="C369" s="8"/>
      <c r="F369" s="8"/>
    </row>
    <row r="370" spans="1:6" s="9" customFormat="1" ht="15" customHeight="1" x14ac:dyDescent="0.2">
      <c r="A370" s="8"/>
      <c r="B370" s="8"/>
      <c r="C370" s="8"/>
      <c r="F370" s="8"/>
    </row>
    <row r="371" spans="1:6" s="9" customFormat="1" ht="15" customHeight="1" x14ac:dyDescent="0.2">
      <c r="A371" s="8"/>
      <c r="B371" s="8"/>
      <c r="C371" s="8"/>
      <c r="F371" s="8"/>
    </row>
    <row r="372" spans="1:6" s="9" customFormat="1" ht="15" customHeight="1" x14ac:dyDescent="0.2">
      <c r="A372" s="8"/>
      <c r="B372" s="8"/>
      <c r="C372" s="8"/>
      <c r="F372" s="8"/>
    </row>
    <row r="373" spans="1:6" s="9" customFormat="1" ht="15" customHeight="1" x14ac:dyDescent="0.2">
      <c r="A373" s="8"/>
      <c r="B373" s="8"/>
      <c r="C373" s="8"/>
      <c r="F373" s="8"/>
    </row>
    <row r="374" spans="1:6" s="9" customFormat="1" ht="15" customHeight="1" x14ac:dyDescent="0.2">
      <c r="A374" s="8"/>
      <c r="B374" s="8"/>
      <c r="C374" s="8"/>
      <c r="F374" s="8"/>
    </row>
    <row r="375" spans="1:6" s="9" customFormat="1" ht="15" customHeight="1" x14ac:dyDescent="0.2">
      <c r="A375" s="8"/>
      <c r="B375" s="8"/>
      <c r="C375" s="8"/>
      <c r="F375" s="8"/>
    </row>
    <row r="376" spans="1:6" s="9" customFormat="1" ht="15" customHeight="1" x14ac:dyDescent="0.2">
      <c r="A376" s="8"/>
      <c r="B376" s="8"/>
      <c r="C376" s="8"/>
      <c r="F376" s="8"/>
    </row>
    <row r="377" spans="1:6" s="9" customFormat="1" ht="15" customHeight="1" x14ac:dyDescent="0.2">
      <c r="A377" s="8"/>
      <c r="B377" s="8"/>
      <c r="C377" s="8"/>
      <c r="F377" s="8"/>
    </row>
    <row r="378" spans="1:6" s="9" customFormat="1" ht="15" customHeight="1" x14ac:dyDescent="0.2">
      <c r="A378" s="8"/>
      <c r="B378" s="8"/>
      <c r="C378" s="8"/>
      <c r="F378" s="8"/>
    </row>
    <row r="379" spans="1:6" s="9" customFormat="1" ht="15" customHeight="1" x14ac:dyDescent="0.2">
      <c r="A379" s="8"/>
      <c r="B379" s="8"/>
      <c r="C379" s="8"/>
      <c r="F379" s="8"/>
    </row>
    <row r="380" spans="1:6" s="9" customFormat="1" ht="15" customHeight="1" x14ac:dyDescent="0.2">
      <c r="A380" s="8"/>
      <c r="B380" s="8"/>
      <c r="C380" s="8"/>
      <c r="F380" s="8"/>
    </row>
    <row r="381" spans="1:6" s="9" customFormat="1" ht="15" customHeight="1" x14ac:dyDescent="0.2">
      <c r="A381" s="8"/>
      <c r="B381" s="8"/>
      <c r="C381" s="8"/>
      <c r="F381" s="8"/>
    </row>
    <row r="382" spans="1:6" s="9" customFormat="1" ht="15" customHeight="1" x14ac:dyDescent="0.2">
      <c r="A382" s="8"/>
      <c r="B382" s="8"/>
      <c r="C382" s="8"/>
      <c r="F382" s="8"/>
    </row>
    <row r="383" spans="1:6" s="9" customFormat="1" ht="15" customHeight="1" x14ac:dyDescent="0.2">
      <c r="A383" s="8"/>
      <c r="B383" s="8"/>
      <c r="C383" s="8"/>
      <c r="F383" s="8"/>
    </row>
    <row r="384" spans="1:6" s="9" customFormat="1" ht="15" customHeight="1" x14ac:dyDescent="0.2">
      <c r="A384" s="8"/>
      <c r="B384" s="8"/>
      <c r="C384" s="8"/>
      <c r="F384" s="8"/>
    </row>
    <row r="385" spans="1:6" s="9" customFormat="1" ht="15" customHeight="1" x14ac:dyDescent="0.2">
      <c r="A385" s="8"/>
      <c r="B385" s="8"/>
      <c r="C385" s="8"/>
      <c r="F385" s="8"/>
    </row>
    <row r="386" spans="1:6" s="9" customFormat="1" ht="15" customHeight="1" x14ac:dyDescent="0.2">
      <c r="A386" s="8"/>
      <c r="B386" s="8"/>
      <c r="C386" s="8"/>
      <c r="F386" s="8"/>
    </row>
    <row r="387" spans="1:6" s="9" customFormat="1" ht="15" customHeight="1" x14ac:dyDescent="0.2">
      <c r="A387" s="8"/>
      <c r="B387" s="8"/>
      <c r="C387" s="8"/>
      <c r="F387" s="8"/>
    </row>
    <row r="388" spans="1:6" s="9" customFormat="1" ht="15" customHeight="1" x14ac:dyDescent="0.2">
      <c r="A388" s="8"/>
      <c r="B388" s="8"/>
      <c r="C388" s="8"/>
      <c r="F388" s="8"/>
    </row>
    <row r="389" spans="1:6" s="9" customFormat="1" ht="15" customHeight="1" x14ac:dyDescent="0.2">
      <c r="A389" s="8"/>
      <c r="B389" s="8"/>
      <c r="C389" s="8"/>
      <c r="F389" s="8"/>
    </row>
    <row r="390" spans="1:6" s="9" customFormat="1" ht="15" customHeight="1" x14ac:dyDescent="0.2">
      <c r="A390" s="8"/>
      <c r="B390" s="8"/>
      <c r="C390" s="8"/>
      <c r="F390" s="8"/>
    </row>
    <row r="391" spans="1:6" s="9" customFormat="1" ht="15" customHeight="1" x14ac:dyDescent="0.2">
      <c r="A391" s="8"/>
      <c r="B391" s="8"/>
      <c r="C391" s="8"/>
      <c r="F391" s="8"/>
    </row>
    <row r="392" spans="1:6" s="9" customFormat="1" ht="15" customHeight="1" x14ac:dyDescent="0.2">
      <c r="A392" s="8"/>
      <c r="B392" s="8"/>
      <c r="C392" s="8"/>
      <c r="F392" s="8"/>
    </row>
    <row r="393" spans="1:6" s="9" customFormat="1" ht="15" customHeight="1" x14ac:dyDescent="0.2">
      <c r="A393" s="8"/>
      <c r="B393" s="8"/>
      <c r="C393" s="8"/>
      <c r="F393" s="8"/>
    </row>
    <row r="394" spans="1:6" s="9" customFormat="1" ht="15" customHeight="1" x14ac:dyDescent="0.2">
      <c r="A394" s="8"/>
      <c r="B394" s="8"/>
      <c r="C394" s="8"/>
      <c r="F394" s="8"/>
    </row>
    <row r="395" spans="1:6" s="9" customFormat="1" ht="15" customHeight="1" x14ac:dyDescent="0.2">
      <c r="A395" s="8"/>
      <c r="B395" s="8"/>
      <c r="C395" s="8"/>
      <c r="F395" s="8"/>
    </row>
    <row r="396" spans="1:6" s="9" customFormat="1" ht="15" customHeight="1" x14ac:dyDescent="0.2">
      <c r="A396" s="8"/>
      <c r="B396" s="8"/>
      <c r="C396" s="8"/>
      <c r="F396" s="8"/>
    </row>
    <row r="397" spans="1:6" s="9" customFormat="1" ht="15" customHeight="1" x14ac:dyDescent="0.2">
      <c r="A397" s="8"/>
      <c r="B397" s="8"/>
      <c r="C397" s="8"/>
      <c r="F397" s="8"/>
    </row>
    <row r="398" spans="1:6" s="9" customFormat="1" ht="15" customHeight="1" x14ac:dyDescent="0.2">
      <c r="A398" s="8"/>
      <c r="B398" s="8"/>
      <c r="C398" s="8"/>
      <c r="F398" s="8"/>
    </row>
    <row r="399" spans="1:6" s="9" customFormat="1" ht="15" customHeight="1" x14ac:dyDescent="0.2">
      <c r="A399" s="8"/>
      <c r="B399" s="8"/>
      <c r="C399" s="8"/>
      <c r="F399" s="8"/>
    </row>
    <row r="400" spans="1:6" s="9" customFormat="1" ht="15" customHeight="1" x14ac:dyDescent="0.2">
      <c r="A400" s="8"/>
      <c r="B400" s="8"/>
      <c r="C400" s="8"/>
      <c r="F400" s="8"/>
    </row>
    <row r="401" spans="1:6" s="9" customFormat="1" ht="15" customHeight="1" x14ac:dyDescent="0.2">
      <c r="A401" s="8"/>
      <c r="B401" s="8"/>
      <c r="C401" s="8"/>
      <c r="F401" s="8"/>
    </row>
    <row r="402" spans="1:6" s="9" customFormat="1" ht="15" customHeight="1" x14ac:dyDescent="0.2">
      <c r="A402" s="8"/>
      <c r="B402" s="8"/>
      <c r="C402" s="8"/>
      <c r="F402" s="8"/>
    </row>
    <row r="403" spans="1:6" s="9" customFormat="1" ht="15" customHeight="1" x14ac:dyDescent="0.2">
      <c r="A403" s="8"/>
      <c r="B403" s="8"/>
      <c r="C403" s="8"/>
      <c r="F403" s="8"/>
    </row>
    <row r="404" spans="1:6" s="9" customFormat="1" ht="15" customHeight="1" x14ac:dyDescent="0.2">
      <c r="A404" s="8"/>
      <c r="B404" s="8"/>
      <c r="C404" s="8"/>
      <c r="F404" s="8"/>
    </row>
    <row r="405" spans="1:6" s="9" customFormat="1" ht="15" customHeight="1" x14ac:dyDescent="0.2">
      <c r="A405" s="8"/>
      <c r="B405" s="8"/>
      <c r="C405" s="8"/>
      <c r="F405" s="8"/>
    </row>
    <row r="406" spans="1:6" s="9" customFormat="1" ht="15" customHeight="1" x14ac:dyDescent="0.2">
      <c r="A406" s="8"/>
      <c r="B406" s="8"/>
      <c r="C406" s="8"/>
      <c r="F406" s="8"/>
    </row>
    <row r="407" spans="1:6" s="9" customFormat="1" ht="15" customHeight="1" x14ac:dyDescent="0.2">
      <c r="A407" s="8"/>
      <c r="B407" s="8"/>
      <c r="C407" s="8"/>
      <c r="F407" s="8"/>
    </row>
    <row r="408" spans="1:6" s="9" customFormat="1" ht="15" customHeight="1" x14ac:dyDescent="0.2">
      <c r="A408" s="8"/>
      <c r="B408" s="8"/>
      <c r="C408" s="8"/>
      <c r="F408" s="8"/>
    </row>
    <row r="409" spans="1:6" s="9" customFormat="1" ht="15" customHeight="1" x14ac:dyDescent="0.2">
      <c r="A409" s="8"/>
      <c r="B409" s="8"/>
      <c r="C409" s="8"/>
      <c r="F409" s="8"/>
    </row>
    <row r="410" spans="1:6" s="9" customFormat="1" ht="15" customHeight="1" x14ac:dyDescent="0.2">
      <c r="A410" s="8"/>
      <c r="B410" s="8"/>
      <c r="C410" s="8"/>
      <c r="F410" s="8"/>
    </row>
    <row r="411" spans="1:6" s="9" customFormat="1" ht="15" customHeight="1" x14ac:dyDescent="0.2">
      <c r="A411" s="8"/>
      <c r="B411" s="8"/>
      <c r="C411" s="8"/>
      <c r="F411" s="8"/>
    </row>
    <row r="412" spans="1:6" s="9" customFormat="1" ht="15" customHeight="1" x14ac:dyDescent="0.2">
      <c r="A412" s="8"/>
      <c r="B412" s="8"/>
      <c r="C412" s="8"/>
      <c r="F412" s="8"/>
    </row>
    <row r="413" spans="1:6" s="9" customFormat="1" ht="15" customHeight="1" x14ac:dyDescent="0.2">
      <c r="A413" s="8"/>
      <c r="B413" s="8"/>
      <c r="C413" s="8"/>
      <c r="F413" s="8"/>
    </row>
    <row r="414" spans="1:6" s="9" customFormat="1" ht="15" customHeight="1" x14ac:dyDescent="0.2">
      <c r="A414" s="8"/>
      <c r="B414" s="8"/>
      <c r="C414" s="8"/>
      <c r="F414" s="8"/>
    </row>
    <row r="415" spans="1:6" s="9" customFormat="1" ht="15" customHeight="1" x14ac:dyDescent="0.2">
      <c r="A415" s="8"/>
      <c r="B415" s="8"/>
      <c r="C415" s="8"/>
      <c r="F415" s="8"/>
    </row>
    <row r="416" spans="1:6" s="9" customFormat="1" ht="15" customHeight="1" x14ac:dyDescent="0.2">
      <c r="A416" s="8"/>
      <c r="B416" s="8"/>
      <c r="C416" s="8"/>
      <c r="F416" s="8"/>
    </row>
    <row r="417" spans="1:6" s="9" customFormat="1" ht="15" customHeight="1" x14ac:dyDescent="0.2">
      <c r="A417" s="8"/>
      <c r="B417" s="8"/>
      <c r="C417" s="8"/>
      <c r="F417" s="8"/>
    </row>
    <row r="418" spans="1:6" s="9" customFormat="1" ht="15" customHeight="1" x14ac:dyDescent="0.2">
      <c r="A418" s="8"/>
      <c r="B418" s="8"/>
      <c r="C418" s="8"/>
      <c r="F418" s="8"/>
    </row>
    <row r="419" spans="1:6" s="9" customFormat="1" ht="15" customHeight="1" x14ac:dyDescent="0.2">
      <c r="A419" s="8"/>
      <c r="B419" s="8"/>
      <c r="C419" s="8"/>
      <c r="F419" s="8"/>
    </row>
    <row r="420" spans="1:6" s="9" customFormat="1" ht="15" customHeight="1" x14ac:dyDescent="0.2">
      <c r="A420" s="8"/>
      <c r="B420" s="8"/>
      <c r="C420" s="8"/>
      <c r="F420" s="8"/>
    </row>
    <row r="421" spans="1:6" s="9" customFormat="1" ht="15" customHeight="1" x14ac:dyDescent="0.2">
      <c r="A421" s="8"/>
      <c r="B421" s="8"/>
      <c r="C421" s="8"/>
      <c r="F421" s="8"/>
    </row>
    <row r="422" spans="1:6" s="9" customFormat="1" ht="15" customHeight="1" x14ac:dyDescent="0.2">
      <c r="A422" s="8"/>
      <c r="B422" s="8"/>
      <c r="C422" s="8"/>
      <c r="F422" s="8"/>
    </row>
    <row r="423" spans="1:6" s="9" customFormat="1" ht="15" customHeight="1" x14ac:dyDescent="0.2">
      <c r="A423" s="8"/>
      <c r="B423" s="8"/>
      <c r="C423" s="8"/>
      <c r="F423" s="8"/>
    </row>
    <row r="424" spans="1:6" s="9" customFormat="1" ht="15" customHeight="1" x14ac:dyDescent="0.2">
      <c r="A424" s="8"/>
      <c r="B424" s="8"/>
      <c r="C424" s="8"/>
      <c r="F424" s="8"/>
    </row>
    <row r="425" spans="1:6" s="9" customFormat="1" ht="15" customHeight="1" x14ac:dyDescent="0.2">
      <c r="A425" s="8"/>
      <c r="B425" s="8"/>
      <c r="C425" s="8"/>
      <c r="F425" s="8"/>
    </row>
    <row r="426" spans="1:6" s="9" customFormat="1" ht="15" customHeight="1" x14ac:dyDescent="0.2">
      <c r="A426" s="8"/>
      <c r="B426" s="8"/>
      <c r="C426" s="8"/>
      <c r="F426" s="8"/>
    </row>
    <row r="427" spans="1:6" s="9" customFormat="1" ht="15" customHeight="1" x14ac:dyDescent="0.2">
      <c r="A427" s="8"/>
      <c r="B427" s="8"/>
      <c r="C427" s="8"/>
      <c r="F427" s="8"/>
    </row>
    <row r="428" spans="1:6" s="9" customFormat="1" ht="15" customHeight="1" x14ac:dyDescent="0.2">
      <c r="A428" s="8"/>
      <c r="B428" s="8"/>
      <c r="C428" s="8"/>
      <c r="F428" s="8"/>
    </row>
    <row r="429" spans="1:6" s="9" customFormat="1" ht="15" customHeight="1" x14ac:dyDescent="0.2">
      <c r="A429" s="8"/>
      <c r="B429" s="8"/>
      <c r="C429" s="8"/>
      <c r="F429" s="8"/>
    </row>
    <row r="430" spans="1:6" s="9" customFormat="1" ht="15" customHeight="1" x14ac:dyDescent="0.2">
      <c r="A430" s="8"/>
      <c r="B430" s="8"/>
      <c r="C430" s="8"/>
      <c r="F430" s="8"/>
    </row>
    <row r="431" spans="1:6" s="9" customFormat="1" ht="15" customHeight="1" x14ac:dyDescent="0.2">
      <c r="A431" s="8"/>
      <c r="B431" s="8"/>
      <c r="C431" s="8"/>
      <c r="F431" s="8"/>
    </row>
    <row r="432" spans="1:6" s="9" customFormat="1" ht="15" customHeight="1" x14ac:dyDescent="0.2">
      <c r="A432" s="8"/>
      <c r="B432" s="8"/>
      <c r="C432" s="8"/>
      <c r="F432" s="8"/>
    </row>
    <row r="433" spans="1:6" s="9" customFormat="1" ht="15" customHeight="1" x14ac:dyDescent="0.2">
      <c r="A433" s="8"/>
      <c r="B433" s="8"/>
      <c r="C433" s="8"/>
      <c r="F433" s="8"/>
    </row>
    <row r="434" spans="1:6" s="9" customFormat="1" ht="15" customHeight="1" x14ac:dyDescent="0.2">
      <c r="A434" s="8"/>
      <c r="B434" s="8"/>
      <c r="C434" s="8"/>
      <c r="F434" s="8"/>
    </row>
    <row r="435" spans="1:6" s="9" customFormat="1" ht="15" customHeight="1" x14ac:dyDescent="0.2">
      <c r="A435" s="8"/>
      <c r="B435" s="8"/>
      <c r="C435" s="8"/>
      <c r="F435" s="8"/>
    </row>
    <row r="436" spans="1:6" s="9" customFormat="1" ht="15" customHeight="1" x14ac:dyDescent="0.2">
      <c r="A436" s="8"/>
      <c r="B436" s="8"/>
      <c r="C436" s="8"/>
      <c r="F436" s="8"/>
    </row>
    <row r="437" spans="1:6" s="9" customFormat="1" ht="15" customHeight="1" x14ac:dyDescent="0.2">
      <c r="A437" s="8"/>
      <c r="B437" s="8"/>
      <c r="C437" s="8"/>
      <c r="F437" s="8"/>
    </row>
    <row r="438" spans="1:6" s="9" customFormat="1" ht="15" customHeight="1" x14ac:dyDescent="0.2">
      <c r="A438" s="8"/>
      <c r="B438" s="8"/>
      <c r="C438" s="8"/>
      <c r="F438" s="8"/>
    </row>
    <row r="439" spans="1:6" s="9" customFormat="1" ht="15" customHeight="1" x14ac:dyDescent="0.2">
      <c r="A439" s="8"/>
      <c r="B439" s="8"/>
      <c r="C439" s="8"/>
      <c r="F439" s="8"/>
    </row>
    <row r="440" spans="1:6" s="9" customFormat="1" ht="15" customHeight="1" x14ac:dyDescent="0.2">
      <c r="A440" s="8"/>
      <c r="B440" s="8"/>
      <c r="C440" s="8"/>
      <c r="F440" s="8"/>
    </row>
    <row r="441" spans="1:6" s="9" customFormat="1" ht="15" customHeight="1" x14ac:dyDescent="0.2">
      <c r="A441" s="8"/>
      <c r="B441" s="8"/>
      <c r="C441" s="8"/>
      <c r="F441" s="8"/>
    </row>
    <row r="442" spans="1:6" s="9" customFormat="1" ht="15" customHeight="1" x14ac:dyDescent="0.2">
      <c r="A442" s="8"/>
      <c r="B442" s="8"/>
      <c r="C442" s="8"/>
      <c r="F442" s="8"/>
    </row>
    <row r="443" spans="1:6" s="9" customFormat="1" ht="15" customHeight="1" x14ac:dyDescent="0.2">
      <c r="A443" s="8"/>
      <c r="B443" s="8"/>
      <c r="C443" s="8"/>
      <c r="F443" s="8"/>
    </row>
    <row r="444" spans="1:6" s="9" customFormat="1" ht="15" customHeight="1" x14ac:dyDescent="0.2">
      <c r="A444" s="8"/>
      <c r="B444" s="8"/>
      <c r="C444" s="8"/>
      <c r="F444" s="8"/>
    </row>
    <row r="445" spans="1:6" s="9" customFormat="1" ht="15" customHeight="1" x14ac:dyDescent="0.2">
      <c r="A445" s="8"/>
      <c r="B445" s="8"/>
      <c r="C445" s="8"/>
      <c r="F445" s="8"/>
    </row>
    <row r="446" spans="1:6" s="9" customFormat="1" ht="15" customHeight="1" x14ac:dyDescent="0.2">
      <c r="A446" s="8"/>
      <c r="B446" s="8"/>
      <c r="C446" s="8"/>
      <c r="F446" s="8"/>
    </row>
    <row r="447" spans="1:6" s="9" customFormat="1" ht="15" customHeight="1" x14ac:dyDescent="0.2">
      <c r="A447" s="8"/>
      <c r="B447" s="8"/>
      <c r="C447" s="8"/>
      <c r="F447" s="8"/>
    </row>
    <row r="448" spans="1:6" s="9" customFormat="1" ht="15" customHeight="1" x14ac:dyDescent="0.2">
      <c r="A448" s="8"/>
      <c r="B448" s="8"/>
      <c r="C448" s="8"/>
      <c r="F448" s="8"/>
    </row>
    <row r="449" spans="1:6" s="9" customFormat="1" ht="15" customHeight="1" x14ac:dyDescent="0.2">
      <c r="A449" s="8"/>
      <c r="B449" s="8"/>
      <c r="C449" s="8"/>
      <c r="F449" s="8"/>
    </row>
    <row r="450" spans="1:6" s="9" customFormat="1" ht="15" customHeight="1" x14ac:dyDescent="0.2">
      <c r="A450" s="8"/>
      <c r="B450" s="8"/>
      <c r="C450" s="8"/>
      <c r="F450" s="8"/>
    </row>
    <row r="451" spans="1:6" s="9" customFormat="1" ht="15" customHeight="1" x14ac:dyDescent="0.2">
      <c r="A451" s="8"/>
      <c r="B451" s="8"/>
      <c r="C451" s="8"/>
      <c r="F451" s="8"/>
    </row>
    <row r="452" spans="1:6" s="9" customFormat="1" ht="15" customHeight="1" x14ac:dyDescent="0.2">
      <c r="A452" s="8"/>
      <c r="B452" s="8"/>
      <c r="C452" s="8"/>
      <c r="F452" s="8"/>
    </row>
    <row r="453" spans="1:6" s="9" customFormat="1" ht="15" customHeight="1" x14ac:dyDescent="0.2">
      <c r="A453" s="8"/>
      <c r="B453" s="8"/>
      <c r="C453" s="8"/>
      <c r="F453" s="8"/>
    </row>
    <row r="454" spans="1:6" s="9" customFormat="1" ht="15" customHeight="1" x14ac:dyDescent="0.2">
      <c r="A454" s="8"/>
      <c r="B454" s="8"/>
      <c r="C454" s="8"/>
      <c r="F454" s="8"/>
    </row>
    <row r="455" spans="1:6" s="9" customFormat="1" ht="15" customHeight="1" x14ac:dyDescent="0.2">
      <c r="A455" s="8"/>
      <c r="B455" s="8"/>
      <c r="C455" s="8"/>
      <c r="F455" s="8"/>
    </row>
    <row r="456" spans="1:6" s="9" customFormat="1" ht="15" customHeight="1" x14ac:dyDescent="0.2">
      <c r="A456" s="8"/>
      <c r="B456" s="8"/>
      <c r="C456" s="8"/>
      <c r="F456" s="8"/>
    </row>
    <row r="457" spans="1:6" s="9" customFormat="1" ht="15" customHeight="1" x14ac:dyDescent="0.2">
      <c r="A457" s="8"/>
      <c r="B457" s="8"/>
      <c r="C457" s="8"/>
      <c r="F457" s="8"/>
    </row>
    <row r="458" spans="1:6" s="9" customFormat="1" ht="15" customHeight="1" x14ac:dyDescent="0.2">
      <c r="A458" s="8"/>
      <c r="B458" s="8"/>
      <c r="C458" s="8"/>
      <c r="F458" s="8"/>
    </row>
    <row r="459" spans="1:6" s="9" customFormat="1" ht="15" customHeight="1" x14ac:dyDescent="0.2">
      <c r="A459" s="8"/>
      <c r="B459" s="8"/>
      <c r="C459" s="8"/>
      <c r="F459" s="8"/>
    </row>
    <row r="460" spans="1:6" s="9" customFormat="1" ht="15" customHeight="1" x14ac:dyDescent="0.2">
      <c r="A460" s="8"/>
      <c r="B460" s="8"/>
      <c r="C460" s="8"/>
      <c r="F460" s="8"/>
    </row>
    <row r="461" spans="1:6" s="9" customFormat="1" ht="15" customHeight="1" x14ac:dyDescent="0.2">
      <c r="A461" s="8"/>
      <c r="B461" s="8"/>
      <c r="C461" s="8"/>
      <c r="F461" s="8"/>
    </row>
    <row r="462" spans="1:6" s="9" customFormat="1" ht="15" customHeight="1" x14ac:dyDescent="0.2">
      <c r="A462" s="8"/>
      <c r="B462" s="8"/>
      <c r="C462" s="8"/>
      <c r="F462" s="8"/>
    </row>
    <row r="463" spans="1:6" s="9" customFormat="1" ht="15" customHeight="1" x14ac:dyDescent="0.2">
      <c r="A463" s="8"/>
      <c r="B463" s="8"/>
      <c r="C463" s="8"/>
      <c r="F463" s="8"/>
    </row>
    <row r="464" spans="1:6" s="9" customFormat="1" ht="15" customHeight="1" x14ac:dyDescent="0.2">
      <c r="A464" s="8"/>
      <c r="B464" s="8"/>
      <c r="C464" s="8"/>
      <c r="F464" s="8"/>
    </row>
    <row r="465" spans="1:6" s="9" customFormat="1" ht="15" customHeight="1" x14ac:dyDescent="0.2">
      <c r="A465" s="8"/>
      <c r="B465" s="8"/>
      <c r="C465" s="8"/>
      <c r="F465" s="8"/>
    </row>
    <row r="466" spans="1:6" s="9" customFormat="1" ht="15" customHeight="1" x14ac:dyDescent="0.2">
      <c r="A466" s="8"/>
      <c r="B466" s="8"/>
      <c r="C466" s="8"/>
      <c r="F466" s="8"/>
    </row>
    <row r="467" spans="1:6" s="9" customFormat="1" ht="15" customHeight="1" x14ac:dyDescent="0.2">
      <c r="A467" s="8"/>
      <c r="B467" s="8"/>
      <c r="C467" s="8"/>
      <c r="F467" s="8"/>
    </row>
    <row r="468" spans="1:6" s="9" customFormat="1" ht="15" customHeight="1" x14ac:dyDescent="0.2">
      <c r="A468" s="8"/>
      <c r="B468" s="8"/>
      <c r="C468" s="8"/>
      <c r="F468" s="8"/>
    </row>
    <row r="469" spans="1:6" s="9" customFormat="1" ht="15" customHeight="1" x14ac:dyDescent="0.2">
      <c r="A469" s="8"/>
      <c r="B469" s="8"/>
      <c r="C469" s="8"/>
      <c r="F469" s="8"/>
    </row>
    <row r="470" spans="1:6" s="9" customFormat="1" ht="15" customHeight="1" x14ac:dyDescent="0.2">
      <c r="A470" s="8"/>
      <c r="B470" s="8"/>
      <c r="C470" s="8"/>
      <c r="F470" s="8"/>
    </row>
    <row r="471" spans="1:6" s="9" customFormat="1" ht="15" customHeight="1" x14ac:dyDescent="0.2">
      <c r="A471" s="8"/>
      <c r="B471" s="8"/>
      <c r="C471" s="8"/>
      <c r="F471" s="8"/>
    </row>
    <row r="472" spans="1:6" s="9" customFormat="1" ht="15" customHeight="1" x14ac:dyDescent="0.2">
      <c r="A472" s="8"/>
      <c r="B472" s="8"/>
      <c r="C472" s="8"/>
      <c r="F472" s="8"/>
    </row>
    <row r="473" spans="1:6" s="9" customFormat="1" ht="15" customHeight="1" x14ac:dyDescent="0.2">
      <c r="A473" s="8"/>
      <c r="B473" s="8"/>
      <c r="C473" s="8"/>
      <c r="F473" s="8"/>
    </row>
    <row r="474" spans="1:6" s="9" customFormat="1" ht="15" customHeight="1" x14ac:dyDescent="0.2">
      <c r="A474" s="8"/>
      <c r="B474" s="8"/>
      <c r="C474" s="8"/>
      <c r="F474" s="8"/>
    </row>
    <row r="475" spans="1:6" s="9" customFormat="1" ht="15" customHeight="1" x14ac:dyDescent="0.2">
      <c r="A475" s="8"/>
      <c r="B475" s="8"/>
      <c r="C475" s="8"/>
      <c r="F475" s="8"/>
    </row>
    <row r="476" spans="1:6" s="9" customFormat="1" ht="15" customHeight="1" x14ac:dyDescent="0.2">
      <c r="A476" s="8"/>
      <c r="B476" s="8"/>
      <c r="C476" s="8"/>
      <c r="F476" s="8"/>
    </row>
    <row r="477" spans="1:6" s="9" customFormat="1" ht="15" customHeight="1" x14ac:dyDescent="0.2">
      <c r="A477" s="8"/>
      <c r="B477" s="8"/>
      <c r="C477" s="8"/>
      <c r="F477" s="8"/>
    </row>
    <row r="478" spans="1:6" s="9" customFormat="1" ht="15" customHeight="1" x14ac:dyDescent="0.2">
      <c r="A478" s="8"/>
      <c r="B478" s="8"/>
      <c r="C478" s="8"/>
      <c r="F478" s="8"/>
    </row>
    <row r="479" spans="1:6" s="9" customFormat="1" ht="15" customHeight="1" x14ac:dyDescent="0.2">
      <c r="A479" s="8"/>
      <c r="B479" s="8"/>
      <c r="C479" s="8"/>
      <c r="F479" s="8"/>
    </row>
    <row r="480" spans="1:6" s="9" customFormat="1" ht="15" customHeight="1" x14ac:dyDescent="0.2">
      <c r="A480" s="8"/>
      <c r="B480" s="8"/>
      <c r="C480" s="8"/>
      <c r="F480" s="8"/>
    </row>
    <row r="481" spans="1:6" s="9" customFormat="1" ht="15" customHeight="1" x14ac:dyDescent="0.2">
      <c r="A481" s="8"/>
      <c r="B481" s="8"/>
      <c r="C481" s="8"/>
      <c r="F481" s="8"/>
    </row>
    <row r="482" spans="1:6" s="9" customFormat="1" ht="15" customHeight="1" x14ac:dyDescent="0.2">
      <c r="A482" s="8"/>
      <c r="B482" s="8"/>
      <c r="C482" s="8"/>
      <c r="F482" s="8"/>
    </row>
    <row r="483" spans="1:6" s="9" customFormat="1" ht="15" customHeight="1" x14ac:dyDescent="0.2">
      <c r="A483" s="8"/>
      <c r="B483" s="8"/>
      <c r="C483" s="8"/>
      <c r="F483" s="8"/>
    </row>
    <row r="484" spans="1:6" s="9" customFormat="1" ht="15" customHeight="1" x14ac:dyDescent="0.2">
      <c r="A484" s="8"/>
      <c r="B484" s="8"/>
      <c r="C484" s="8"/>
      <c r="F484" s="8"/>
    </row>
    <row r="485" spans="1:6" s="9" customFormat="1" ht="15" customHeight="1" x14ac:dyDescent="0.2">
      <c r="A485" s="8"/>
      <c r="B485" s="8"/>
      <c r="C485" s="8"/>
      <c r="F485" s="8"/>
    </row>
    <row r="486" spans="1:6" s="9" customFormat="1" ht="15" customHeight="1" x14ac:dyDescent="0.2">
      <c r="A486" s="8"/>
      <c r="B486" s="8"/>
      <c r="C486" s="8"/>
      <c r="F486" s="8"/>
    </row>
    <row r="487" spans="1:6" s="9" customFormat="1" ht="15" customHeight="1" x14ac:dyDescent="0.2">
      <c r="A487" s="8"/>
      <c r="B487" s="8"/>
      <c r="C487" s="8"/>
      <c r="F487" s="8"/>
    </row>
    <row r="488" spans="1:6" s="9" customFormat="1" ht="15" customHeight="1" x14ac:dyDescent="0.2">
      <c r="A488" s="8"/>
      <c r="B488" s="8"/>
      <c r="C488" s="8"/>
      <c r="F488" s="8"/>
    </row>
    <row r="489" spans="1:6" s="9" customFormat="1" ht="15" customHeight="1" x14ac:dyDescent="0.2">
      <c r="A489" s="8"/>
      <c r="B489" s="8"/>
      <c r="C489" s="8"/>
      <c r="F489" s="8"/>
    </row>
    <row r="490" spans="1:6" s="9" customFormat="1" ht="15" customHeight="1" x14ac:dyDescent="0.2">
      <c r="A490" s="8"/>
      <c r="B490" s="8"/>
      <c r="C490" s="8"/>
      <c r="F490" s="8"/>
    </row>
    <row r="491" spans="1:6" s="9" customFormat="1" ht="15" customHeight="1" x14ac:dyDescent="0.2">
      <c r="A491" s="8"/>
      <c r="B491" s="8"/>
      <c r="C491" s="8"/>
      <c r="F491" s="8"/>
    </row>
    <row r="492" spans="1:6" s="9" customFormat="1" ht="15" customHeight="1" x14ac:dyDescent="0.2">
      <c r="A492" s="8"/>
      <c r="B492" s="8"/>
      <c r="C492" s="8"/>
      <c r="F492" s="8"/>
    </row>
    <row r="493" spans="1:6" s="9" customFormat="1" ht="15" customHeight="1" x14ac:dyDescent="0.2">
      <c r="A493" s="8"/>
      <c r="B493" s="8"/>
      <c r="C493" s="8"/>
      <c r="F493" s="8"/>
    </row>
    <row r="494" spans="1:6" s="9" customFormat="1" ht="15" customHeight="1" x14ac:dyDescent="0.2">
      <c r="A494" s="8"/>
      <c r="B494" s="8"/>
      <c r="C494" s="8"/>
      <c r="F494" s="8"/>
    </row>
    <row r="495" spans="1:6" s="9" customFormat="1" ht="15" customHeight="1" x14ac:dyDescent="0.2">
      <c r="A495" s="8"/>
      <c r="B495" s="8"/>
      <c r="C495" s="8"/>
      <c r="F495" s="8"/>
    </row>
    <row r="496" spans="1:6" s="9" customFormat="1" ht="15" customHeight="1" x14ac:dyDescent="0.2">
      <c r="A496" s="8"/>
      <c r="B496" s="8"/>
      <c r="C496" s="8"/>
      <c r="F496" s="8"/>
    </row>
    <row r="497" spans="1:6" s="9" customFormat="1" ht="15" customHeight="1" x14ac:dyDescent="0.2">
      <c r="A497" s="8"/>
      <c r="B497" s="8"/>
      <c r="C497" s="8"/>
      <c r="F497" s="8"/>
    </row>
    <row r="498" spans="1:6" s="9" customFormat="1" ht="15" customHeight="1" x14ac:dyDescent="0.2">
      <c r="A498" s="8"/>
      <c r="B498" s="8"/>
      <c r="C498" s="8"/>
      <c r="F498" s="8"/>
    </row>
    <row r="499" spans="1:6" s="9" customFormat="1" ht="15" customHeight="1" x14ac:dyDescent="0.2">
      <c r="A499" s="8"/>
      <c r="B499" s="8"/>
      <c r="C499" s="8"/>
      <c r="F499" s="8"/>
    </row>
    <row r="500" spans="1:6" s="9" customFormat="1" ht="15" customHeight="1" x14ac:dyDescent="0.2">
      <c r="A500" s="8"/>
      <c r="B500" s="8"/>
      <c r="C500" s="8"/>
      <c r="F500" s="8"/>
    </row>
    <row r="501" spans="1:6" s="9" customFormat="1" ht="15" customHeight="1" x14ac:dyDescent="0.2">
      <c r="A501" s="8"/>
      <c r="B501" s="8"/>
      <c r="C501" s="8"/>
      <c r="F501" s="8"/>
    </row>
    <row r="502" spans="1:6" s="9" customFormat="1" ht="15" customHeight="1" x14ac:dyDescent="0.2">
      <c r="A502" s="8"/>
      <c r="B502" s="8"/>
      <c r="C502" s="8"/>
      <c r="F502" s="8"/>
    </row>
    <row r="503" spans="1:6" s="9" customFormat="1" ht="15" customHeight="1" x14ac:dyDescent="0.2">
      <c r="A503" s="8"/>
      <c r="B503" s="8"/>
      <c r="C503" s="8"/>
      <c r="F503" s="8"/>
    </row>
    <row r="504" spans="1:6" s="9" customFormat="1" ht="15" customHeight="1" x14ac:dyDescent="0.2">
      <c r="A504" s="8"/>
      <c r="B504" s="8"/>
      <c r="C504" s="8"/>
      <c r="F504" s="8"/>
    </row>
    <row r="505" spans="1:6" s="9" customFormat="1" ht="15" customHeight="1" x14ac:dyDescent="0.2">
      <c r="A505" s="8"/>
      <c r="B505" s="8"/>
      <c r="C505" s="8"/>
      <c r="F505" s="8"/>
    </row>
    <row r="506" spans="1:6" s="9" customFormat="1" ht="15" customHeight="1" x14ac:dyDescent="0.2">
      <c r="A506" s="8"/>
      <c r="B506" s="8"/>
      <c r="C506" s="8"/>
      <c r="F506" s="8"/>
    </row>
    <row r="507" spans="1:6" s="9" customFormat="1" ht="15" customHeight="1" x14ac:dyDescent="0.2">
      <c r="A507" s="8"/>
      <c r="B507" s="8"/>
      <c r="C507" s="8"/>
      <c r="F507" s="8"/>
    </row>
    <row r="508" spans="1:6" s="9" customFormat="1" ht="15" customHeight="1" x14ac:dyDescent="0.2">
      <c r="A508" s="8"/>
      <c r="B508" s="8"/>
      <c r="C508" s="8"/>
      <c r="F508" s="8"/>
    </row>
    <row r="509" spans="1:6" s="9" customFormat="1" ht="15" customHeight="1" x14ac:dyDescent="0.2">
      <c r="A509" s="8"/>
      <c r="B509" s="8"/>
      <c r="C509" s="8"/>
      <c r="F509" s="8"/>
    </row>
    <row r="510" spans="1:6" s="9" customFormat="1" ht="15" customHeight="1" x14ac:dyDescent="0.2">
      <c r="A510" s="8"/>
      <c r="B510" s="8"/>
      <c r="C510" s="8"/>
      <c r="F510" s="8"/>
    </row>
    <row r="511" spans="1:6" s="9" customFormat="1" ht="15" customHeight="1" x14ac:dyDescent="0.2">
      <c r="A511" s="8"/>
      <c r="B511" s="8"/>
      <c r="C511" s="8"/>
      <c r="F511" s="8"/>
    </row>
    <row r="512" spans="1:6" s="9" customFormat="1" ht="15" customHeight="1" x14ac:dyDescent="0.2">
      <c r="A512" s="8"/>
      <c r="B512" s="8"/>
      <c r="C512" s="8"/>
      <c r="F512" s="8"/>
    </row>
    <row r="513" spans="1:6" s="9" customFormat="1" ht="15" customHeight="1" x14ac:dyDescent="0.2">
      <c r="A513" s="8"/>
      <c r="B513" s="8"/>
      <c r="C513" s="8"/>
      <c r="F513" s="8"/>
    </row>
    <row r="514" spans="1:6" s="9" customFormat="1" ht="15" customHeight="1" x14ac:dyDescent="0.2">
      <c r="A514" s="8"/>
      <c r="B514" s="8"/>
      <c r="C514" s="8"/>
      <c r="F514" s="8"/>
    </row>
    <row r="515" spans="1:6" s="9" customFormat="1" ht="15" customHeight="1" x14ac:dyDescent="0.2">
      <c r="A515" s="8"/>
      <c r="B515" s="8"/>
      <c r="C515" s="8"/>
      <c r="F515" s="8"/>
    </row>
    <row r="516" spans="1:6" s="9" customFormat="1" ht="15" customHeight="1" x14ac:dyDescent="0.2">
      <c r="A516" s="8"/>
      <c r="B516" s="8"/>
      <c r="C516" s="8"/>
      <c r="F516" s="8"/>
    </row>
    <row r="517" spans="1:6" s="9" customFormat="1" ht="15" customHeight="1" x14ac:dyDescent="0.2">
      <c r="A517" s="8"/>
      <c r="B517" s="8"/>
      <c r="C517" s="8"/>
      <c r="F517" s="8"/>
    </row>
    <row r="518" spans="1:6" s="9" customFormat="1" ht="15" customHeight="1" x14ac:dyDescent="0.2">
      <c r="A518" s="8"/>
      <c r="B518" s="8"/>
      <c r="C518" s="8"/>
      <c r="F518" s="8"/>
    </row>
    <row r="519" spans="1:6" s="9" customFormat="1" ht="15" customHeight="1" x14ac:dyDescent="0.2">
      <c r="A519" s="8"/>
      <c r="B519" s="8"/>
      <c r="C519" s="8"/>
      <c r="F519" s="8"/>
    </row>
    <row r="520" spans="1:6" s="9" customFormat="1" ht="15" customHeight="1" x14ac:dyDescent="0.2">
      <c r="A520" s="8"/>
      <c r="B520" s="8"/>
      <c r="C520" s="8"/>
      <c r="F520" s="8"/>
    </row>
    <row r="521" spans="1:6" s="9" customFormat="1" ht="15" customHeight="1" x14ac:dyDescent="0.2">
      <c r="A521" s="8"/>
      <c r="B521" s="8"/>
      <c r="C521" s="8"/>
      <c r="F521" s="8"/>
    </row>
    <row r="522" spans="1:6" s="9" customFormat="1" ht="15" customHeight="1" x14ac:dyDescent="0.2">
      <c r="A522" s="8"/>
      <c r="B522" s="8"/>
      <c r="C522" s="8"/>
      <c r="F522" s="8"/>
    </row>
    <row r="523" spans="1:6" s="9" customFormat="1" ht="15" customHeight="1" x14ac:dyDescent="0.2">
      <c r="A523" s="8"/>
      <c r="B523" s="8"/>
      <c r="C523" s="8"/>
      <c r="F523" s="8"/>
    </row>
    <row r="524" spans="1:6" s="9" customFormat="1" ht="15" customHeight="1" x14ac:dyDescent="0.2">
      <c r="A524" s="8"/>
      <c r="B524" s="8"/>
      <c r="C524" s="8"/>
      <c r="F524" s="8"/>
    </row>
    <row r="525" spans="1:6" s="9" customFormat="1" ht="15" customHeight="1" x14ac:dyDescent="0.2">
      <c r="A525" s="8"/>
      <c r="B525" s="8"/>
      <c r="C525" s="8"/>
      <c r="F525" s="8"/>
    </row>
    <row r="526" spans="1:6" s="9" customFormat="1" ht="15" customHeight="1" x14ac:dyDescent="0.2">
      <c r="A526" s="8"/>
      <c r="B526" s="8"/>
      <c r="C526" s="8"/>
      <c r="F526" s="8"/>
    </row>
    <row r="527" spans="1:6" s="9" customFormat="1" ht="15" customHeight="1" x14ac:dyDescent="0.2">
      <c r="A527" s="8"/>
      <c r="B527" s="8"/>
      <c r="C527" s="8"/>
      <c r="F527" s="8"/>
    </row>
    <row r="528" spans="1:6" s="9" customFormat="1" ht="15" customHeight="1" x14ac:dyDescent="0.2">
      <c r="A528" s="8"/>
      <c r="B528" s="8"/>
      <c r="C528" s="8"/>
      <c r="F528" s="8"/>
    </row>
    <row r="529" spans="1:6" s="9" customFormat="1" ht="15" customHeight="1" x14ac:dyDescent="0.2">
      <c r="A529" s="8"/>
      <c r="B529" s="8"/>
      <c r="C529" s="8"/>
      <c r="F529" s="8"/>
    </row>
    <row r="530" spans="1:6" s="9" customFormat="1" ht="15" customHeight="1" x14ac:dyDescent="0.2">
      <c r="A530" s="8"/>
      <c r="B530" s="8"/>
      <c r="C530" s="8"/>
      <c r="F530" s="8"/>
    </row>
    <row r="531" spans="1:6" s="9" customFormat="1" ht="15" customHeight="1" x14ac:dyDescent="0.2">
      <c r="A531" s="8"/>
      <c r="B531" s="8"/>
      <c r="C531" s="8"/>
      <c r="F531" s="8"/>
    </row>
    <row r="532" spans="1:6" s="9" customFormat="1" ht="15" customHeight="1" x14ac:dyDescent="0.2">
      <c r="A532" s="8"/>
      <c r="B532" s="8"/>
      <c r="C532" s="8"/>
      <c r="F532" s="8"/>
    </row>
    <row r="533" spans="1:6" s="9" customFormat="1" ht="15" customHeight="1" x14ac:dyDescent="0.2">
      <c r="A533" s="8"/>
      <c r="B533" s="8"/>
      <c r="C533" s="8"/>
      <c r="F533" s="8"/>
    </row>
    <row r="534" spans="1:6" s="9" customFormat="1" ht="15" customHeight="1" x14ac:dyDescent="0.2">
      <c r="A534" s="8"/>
      <c r="B534" s="8"/>
      <c r="C534" s="8"/>
      <c r="F534" s="8"/>
    </row>
    <row r="535" spans="1:6" s="9" customFormat="1" ht="15" customHeight="1" x14ac:dyDescent="0.2">
      <c r="A535" s="8"/>
      <c r="B535" s="8"/>
      <c r="C535" s="8"/>
      <c r="F535" s="8"/>
    </row>
    <row r="536" spans="1:6" s="9" customFormat="1" ht="15" customHeight="1" x14ac:dyDescent="0.2">
      <c r="A536" s="8"/>
      <c r="B536" s="8"/>
      <c r="C536" s="8"/>
      <c r="F536" s="8"/>
    </row>
    <row r="537" spans="1:6" s="9" customFormat="1" ht="15" customHeight="1" x14ac:dyDescent="0.2">
      <c r="A537" s="8"/>
      <c r="B537" s="8"/>
      <c r="C537" s="8"/>
      <c r="F537" s="8"/>
    </row>
    <row r="538" spans="1:6" s="9" customFormat="1" ht="15" customHeight="1" x14ac:dyDescent="0.2">
      <c r="A538" s="8"/>
      <c r="B538" s="8"/>
      <c r="C538" s="8"/>
      <c r="F538" s="8"/>
    </row>
    <row r="539" spans="1:6" s="9" customFormat="1" ht="15" customHeight="1" x14ac:dyDescent="0.2">
      <c r="A539" s="8"/>
      <c r="B539" s="8"/>
      <c r="C539" s="8"/>
      <c r="F539" s="8"/>
    </row>
    <row r="540" spans="1:6" s="9" customFormat="1" ht="15" customHeight="1" x14ac:dyDescent="0.2">
      <c r="A540" s="8"/>
      <c r="B540" s="8"/>
      <c r="C540" s="8"/>
      <c r="F540" s="8"/>
    </row>
    <row r="541" spans="1:6" s="9" customFormat="1" ht="15" customHeight="1" x14ac:dyDescent="0.2">
      <c r="A541" s="8"/>
      <c r="B541" s="8"/>
      <c r="C541" s="8"/>
      <c r="F541" s="8"/>
    </row>
    <row r="542" spans="1:6" s="9" customFormat="1" ht="15" customHeight="1" x14ac:dyDescent="0.2">
      <c r="A542" s="8"/>
      <c r="B542" s="8"/>
      <c r="C542" s="8"/>
      <c r="F542" s="8"/>
    </row>
    <row r="543" spans="1:6" s="9" customFormat="1" ht="15" customHeight="1" x14ac:dyDescent="0.2">
      <c r="A543" s="8"/>
      <c r="B543" s="8"/>
      <c r="C543" s="8"/>
      <c r="F543" s="8"/>
    </row>
    <row r="544" spans="1:6" s="9" customFormat="1" ht="15" customHeight="1" x14ac:dyDescent="0.2">
      <c r="A544" s="8"/>
      <c r="B544" s="8"/>
      <c r="C544" s="8"/>
      <c r="F544" s="8"/>
    </row>
    <row r="545" spans="1:6" s="9" customFormat="1" ht="15" customHeight="1" x14ac:dyDescent="0.2">
      <c r="A545" s="8"/>
      <c r="B545" s="8"/>
      <c r="C545" s="8"/>
      <c r="F545" s="8"/>
    </row>
    <row r="546" spans="1:6" s="9" customFormat="1" ht="15" customHeight="1" x14ac:dyDescent="0.2">
      <c r="A546" s="8"/>
      <c r="B546" s="8"/>
      <c r="C546" s="8"/>
      <c r="F546" s="8"/>
    </row>
    <row r="547" spans="1:6" s="9" customFormat="1" ht="15" customHeight="1" x14ac:dyDescent="0.2">
      <c r="A547" s="8"/>
      <c r="B547" s="8"/>
      <c r="C547" s="8"/>
      <c r="F547" s="8"/>
    </row>
    <row r="548" spans="1:6" s="9" customFormat="1" ht="15" customHeight="1" x14ac:dyDescent="0.2">
      <c r="A548" s="8"/>
      <c r="B548" s="8"/>
      <c r="C548" s="8"/>
      <c r="F548" s="8"/>
    </row>
    <row r="549" spans="1:6" s="9" customFormat="1" ht="15" customHeight="1" x14ac:dyDescent="0.2">
      <c r="A549" s="8"/>
      <c r="B549" s="8"/>
      <c r="C549" s="8"/>
      <c r="F549" s="8"/>
    </row>
    <row r="550" spans="1:6" s="9" customFormat="1" ht="15" customHeight="1" x14ac:dyDescent="0.2">
      <c r="A550" s="8"/>
      <c r="B550" s="8"/>
      <c r="C550" s="8"/>
      <c r="F550" s="8"/>
    </row>
    <row r="551" spans="1:6" s="9" customFormat="1" ht="15" customHeight="1" x14ac:dyDescent="0.2">
      <c r="A551" s="8"/>
      <c r="B551" s="8"/>
      <c r="C551" s="8"/>
      <c r="F551" s="8"/>
    </row>
    <row r="552" spans="1:6" s="9" customFormat="1" ht="15" customHeight="1" x14ac:dyDescent="0.2">
      <c r="A552" s="8"/>
      <c r="B552" s="8"/>
      <c r="C552" s="8"/>
      <c r="F552" s="8"/>
    </row>
    <row r="553" spans="1:6" s="9" customFormat="1" ht="15" customHeight="1" x14ac:dyDescent="0.2">
      <c r="A553" s="8"/>
      <c r="B553" s="8"/>
      <c r="C553" s="8"/>
      <c r="F553" s="8"/>
    </row>
    <row r="554" spans="1:6" s="9" customFormat="1" ht="15" customHeight="1" x14ac:dyDescent="0.2">
      <c r="A554" s="8"/>
      <c r="B554" s="8"/>
      <c r="C554" s="8"/>
      <c r="F554" s="8"/>
    </row>
    <row r="555" spans="1:6" s="9" customFormat="1" ht="15" customHeight="1" x14ac:dyDescent="0.2">
      <c r="A555" s="8"/>
      <c r="B555" s="8"/>
      <c r="C555" s="8"/>
      <c r="F555" s="8"/>
    </row>
    <row r="556" spans="1:6" s="9" customFormat="1" ht="15" customHeight="1" x14ac:dyDescent="0.2">
      <c r="A556" s="8"/>
      <c r="B556" s="8"/>
      <c r="C556" s="8"/>
      <c r="F556" s="8"/>
    </row>
    <row r="557" spans="1:6" s="9" customFormat="1" ht="15" customHeight="1" x14ac:dyDescent="0.2">
      <c r="A557" s="8"/>
      <c r="B557" s="8"/>
      <c r="C557" s="8"/>
      <c r="F557" s="8"/>
    </row>
    <row r="558" spans="1:6" s="9" customFormat="1" ht="15" customHeight="1" x14ac:dyDescent="0.2">
      <c r="A558" s="8"/>
      <c r="B558" s="8"/>
      <c r="C558" s="8"/>
      <c r="F558" s="8"/>
    </row>
    <row r="559" spans="1:6" s="9" customFormat="1" ht="15" customHeight="1" x14ac:dyDescent="0.2">
      <c r="A559" s="8"/>
      <c r="B559" s="8"/>
      <c r="C559" s="8"/>
      <c r="F559" s="8"/>
    </row>
    <row r="560" spans="1:6" s="9" customFormat="1" ht="15" customHeight="1" x14ac:dyDescent="0.2">
      <c r="A560" s="8"/>
      <c r="B560" s="8"/>
      <c r="C560" s="8"/>
      <c r="F560" s="8"/>
    </row>
    <row r="561" spans="1:6" s="9" customFormat="1" ht="15" customHeight="1" x14ac:dyDescent="0.2">
      <c r="A561" s="8"/>
      <c r="B561" s="8"/>
      <c r="C561" s="8"/>
      <c r="F561" s="8"/>
    </row>
    <row r="562" spans="1:6" s="9" customFormat="1" ht="15" customHeight="1" x14ac:dyDescent="0.2">
      <c r="A562" s="8"/>
      <c r="B562" s="8"/>
      <c r="C562" s="8"/>
      <c r="F562" s="8"/>
    </row>
    <row r="563" spans="1:6" s="9" customFormat="1" ht="15" customHeight="1" x14ac:dyDescent="0.2">
      <c r="A563" s="8"/>
      <c r="B563" s="8"/>
      <c r="C563" s="8"/>
      <c r="F563" s="8"/>
    </row>
    <row r="564" spans="1:6" s="9" customFormat="1" ht="15" customHeight="1" x14ac:dyDescent="0.2">
      <c r="A564" s="8"/>
      <c r="B564" s="8"/>
      <c r="C564" s="8"/>
      <c r="F564" s="8"/>
    </row>
    <row r="565" spans="1:6" s="9" customFormat="1" ht="15" customHeight="1" x14ac:dyDescent="0.2">
      <c r="A565" s="8"/>
      <c r="B565" s="8"/>
      <c r="C565" s="8"/>
      <c r="F565" s="8"/>
    </row>
    <row r="566" spans="1:6" s="9" customFormat="1" ht="15" customHeight="1" x14ac:dyDescent="0.2">
      <c r="A566" s="8"/>
      <c r="B566" s="8"/>
      <c r="C566" s="8"/>
      <c r="F566" s="8"/>
    </row>
    <row r="567" spans="1:6" s="9" customFormat="1" ht="15" customHeight="1" x14ac:dyDescent="0.2">
      <c r="A567" s="8"/>
      <c r="B567" s="8"/>
      <c r="C567" s="8"/>
      <c r="F567" s="8"/>
    </row>
    <row r="568" spans="1:6" s="9" customFormat="1" ht="15" customHeight="1" x14ac:dyDescent="0.2">
      <c r="A568" s="8"/>
      <c r="B568" s="8"/>
      <c r="C568" s="8"/>
      <c r="F568" s="8"/>
    </row>
    <row r="569" spans="1:6" s="9" customFormat="1" ht="15" customHeight="1" x14ac:dyDescent="0.2">
      <c r="A569" s="8"/>
      <c r="B569" s="8"/>
      <c r="C569" s="8"/>
      <c r="F569" s="8"/>
    </row>
    <row r="570" spans="1:6" s="9" customFormat="1" ht="15" customHeight="1" x14ac:dyDescent="0.2">
      <c r="A570" s="8"/>
      <c r="B570" s="8"/>
      <c r="C570" s="8"/>
      <c r="F570" s="8"/>
    </row>
    <row r="571" spans="1:6" s="9" customFormat="1" ht="15" customHeight="1" x14ac:dyDescent="0.2">
      <c r="A571" s="8"/>
      <c r="B571" s="8"/>
      <c r="C571" s="8"/>
      <c r="F571" s="8"/>
    </row>
    <row r="572" spans="1:6" s="9" customFormat="1" ht="15" customHeight="1" x14ac:dyDescent="0.2">
      <c r="A572" s="8"/>
      <c r="B572" s="8"/>
      <c r="C572" s="8"/>
      <c r="F572" s="8"/>
    </row>
    <row r="573" spans="1:6" s="9" customFormat="1" ht="15" customHeight="1" x14ac:dyDescent="0.2">
      <c r="A573" s="8"/>
      <c r="B573" s="8"/>
      <c r="C573" s="8"/>
      <c r="F573" s="8"/>
    </row>
    <row r="574" spans="1:6" s="9" customFormat="1" ht="15" customHeight="1" x14ac:dyDescent="0.2">
      <c r="A574" s="8"/>
      <c r="B574" s="8"/>
      <c r="C574" s="8"/>
      <c r="F574" s="8"/>
    </row>
    <row r="575" spans="1:6" s="9" customFormat="1" ht="15" customHeight="1" x14ac:dyDescent="0.2">
      <c r="A575" s="8"/>
      <c r="B575" s="8"/>
      <c r="C575" s="8"/>
      <c r="F575" s="8"/>
    </row>
    <row r="576" spans="1:6" s="9" customFormat="1" ht="15" customHeight="1" x14ac:dyDescent="0.2">
      <c r="A576" s="8"/>
      <c r="B576" s="8"/>
      <c r="C576" s="8"/>
      <c r="F576" s="8"/>
    </row>
    <row r="577" spans="1:6" s="9" customFormat="1" ht="15" customHeight="1" x14ac:dyDescent="0.2">
      <c r="A577" s="8"/>
      <c r="B577" s="8"/>
      <c r="C577" s="8"/>
      <c r="F577" s="8"/>
    </row>
    <row r="578" spans="1:6" s="9" customFormat="1" ht="15" customHeight="1" x14ac:dyDescent="0.2">
      <c r="A578" s="8"/>
      <c r="B578" s="8"/>
      <c r="C578" s="8"/>
      <c r="F578" s="8"/>
    </row>
    <row r="579" spans="1:6" s="9" customFormat="1" ht="15" customHeight="1" x14ac:dyDescent="0.2">
      <c r="A579" s="8"/>
      <c r="B579" s="8"/>
      <c r="C579" s="8"/>
      <c r="F579" s="8"/>
    </row>
    <row r="580" spans="1:6" s="9" customFormat="1" ht="15" customHeight="1" x14ac:dyDescent="0.2">
      <c r="A580" s="8"/>
      <c r="B580" s="8"/>
      <c r="C580" s="8"/>
      <c r="F580" s="8"/>
    </row>
    <row r="581" spans="1:6" s="9" customFormat="1" ht="15" customHeight="1" x14ac:dyDescent="0.2">
      <c r="A581" s="8"/>
      <c r="B581" s="8"/>
      <c r="C581" s="8"/>
      <c r="F581" s="8"/>
    </row>
    <row r="582" spans="1:6" s="9" customFormat="1" ht="15" customHeight="1" x14ac:dyDescent="0.2">
      <c r="A582" s="8"/>
      <c r="B582" s="8"/>
      <c r="C582" s="8"/>
      <c r="F582" s="8"/>
    </row>
    <row r="583" spans="1:6" s="9" customFormat="1" ht="15" customHeight="1" x14ac:dyDescent="0.2">
      <c r="A583" s="8"/>
      <c r="B583" s="8"/>
      <c r="C583" s="8"/>
      <c r="F583" s="8"/>
    </row>
    <row r="584" spans="1:6" s="9" customFormat="1" ht="15" customHeight="1" x14ac:dyDescent="0.2">
      <c r="A584" s="8"/>
      <c r="B584" s="8"/>
      <c r="C584" s="8"/>
      <c r="F584" s="8"/>
    </row>
    <row r="585" spans="1:6" s="9" customFormat="1" ht="15" customHeight="1" x14ac:dyDescent="0.2">
      <c r="A585" s="8"/>
      <c r="B585" s="8"/>
      <c r="C585" s="8"/>
      <c r="F585" s="8"/>
    </row>
    <row r="586" spans="1:6" s="9" customFormat="1" ht="15" customHeight="1" x14ac:dyDescent="0.2">
      <c r="A586" s="8"/>
      <c r="B586" s="8"/>
      <c r="C586" s="8"/>
      <c r="F586" s="8"/>
    </row>
    <row r="587" spans="1:6" s="9" customFormat="1" ht="15" customHeight="1" x14ac:dyDescent="0.2">
      <c r="A587" s="8"/>
      <c r="B587" s="8"/>
      <c r="C587" s="8"/>
      <c r="F587" s="8"/>
    </row>
    <row r="588" spans="1:6" s="9" customFormat="1" ht="15" customHeight="1" x14ac:dyDescent="0.2">
      <c r="A588" s="8"/>
      <c r="B588" s="8"/>
      <c r="C588" s="8"/>
      <c r="F588" s="8"/>
    </row>
    <row r="589" spans="1:6" s="9" customFormat="1" ht="15" customHeight="1" x14ac:dyDescent="0.2">
      <c r="A589" s="8"/>
      <c r="B589" s="8"/>
      <c r="C589" s="8"/>
      <c r="F589" s="8"/>
    </row>
    <row r="590" spans="1:6" s="9" customFormat="1" ht="15" customHeight="1" x14ac:dyDescent="0.2">
      <c r="A590" s="8"/>
      <c r="B590" s="8"/>
      <c r="C590" s="8"/>
      <c r="F590" s="8"/>
    </row>
    <row r="591" spans="1:6" s="9" customFormat="1" ht="15" customHeight="1" x14ac:dyDescent="0.2">
      <c r="A591" s="8"/>
      <c r="B591" s="8"/>
      <c r="C591" s="8"/>
      <c r="F591" s="8"/>
    </row>
    <row r="592" spans="1:6" s="9" customFormat="1" ht="15" customHeight="1" x14ac:dyDescent="0.2">
      <c r="A592" s="8"/>
      <c r="B592" s="8"/>
      <c r="C592" s="8"/>
      <c r="F592" s="8"/>
    </row>
    <row r="593" spans="1:6" s="9" customFormat="1" ht="15" customHeight="1" x14ac:dyDescent="0.2">
      <c r="A593" s="8"/>
      <c r="B593" s="8"/>
      <c r="C593" s="8"/>
      <c r="F593" s="8"/>
    </row>
    <row r="594" spans="1:6" s="9" customFormat="1" ht="15" customHeight="1" x14ac:dyDescent="0.2">
      <c r="A594" s="8"/>
      <c r="B594" s="8"/>
      <c r="C594" s="8"/>
      <c r="F594" s="8"/>
    </row>
    <row r="595" spans="1:6" s="9" customFormat="1" ht="15" customHeight="1" x14ac:dyDescent="0.2">
      <c r="A595" s="8"/>
      <c r="B595" s="8"/>
      <c r="C595" s="8"/>
      <c r="F595" s="8"/>
    </row>
    <row r="596" spans="1:6" s="9" customFormat="1" ht="15" customHeight="1" x14ac:dyDescent="0.2">
      <c r="A596" s="8"/>
      <c r="B596" s="8"/>
      <c r="C596" s="8"/>
      <c r="F596" s="8"/>
    </row>
    <row r="597" spans="1:6" s="9" customFormat="1" ht="15" customHeight="1" x14ac:dyDescent="0.2">
      <c r="A597" s="8"/>
      <c r="B597" s="8"/>
      <c r="C597" s="8"/>
      <c r="F597" s="8"/>
    </row>
    <row r="598" spans="1:6" s="9" customFormat="1" ht="15" customHeight="1" x14ac:dyDescent="0.2">
      <c r="A598" s="8"/>
      <c r="B598" s="8"/>
      <c r="C598" s="8"/>
      <c r="F598" s="8"/>
    </row>
    <row r="599" spans="1:6" s="9" customFormat="1" ht="15" customHeight="1" x14ac:dyDescent="0.2">
      <c r="A599" s="8"/>
      <c r="B599" s="8"/>
      <c r="C599" s="8"/>
      <c r="F599" s="8"/>
    </row>
    <row r="600" spans="1:6" s="9" customFormat="1" ht="15" customHeight="1" x14ac:dyDescent="0.2">
      <c r="A600" s="8"/>
      <c r="B600" s="8"/>
      <c r="C600" s="8"/>
      <c r="F600" s="8"/>
    </row>
    <row r="601" spans="1:6" s="9" customFormat="1" ht="15" customHeight="1" x14ac:dyDescent="0.2">
      <c r="A601" s="8"/>
      <c r="B601" s="8"/>
      <c r="C601" s="8"/>
      <c r="F601" s="8"/>
    </row>
    <row r="602" spans="1:6" s="9" customFormat="1" ht="15" customHeight="1" x14ac:dyDescent="0.2">
      <c r="A602" s="8"/>
      <c r="B602" s="8"/>
      <c r="C602" s="8"/>
      <c r="F602" s="8"/>
    </row>
    <row r="603" spans="1:6" s="9" customFormat="1" ht="15" customHeight="1" x14ac:dyDescent="0.2">
      <c r="A603" s="8"/>
      <c r="B603" s="8"/>
      <c r="C603" s="8"/>
      <c r="F603" s="8"/>
    </row>
    <row r="604" spans="1:6" s="9" customFormat="1" ht="15" customHeight="1" x14ac:dyDescent="0.2">
      <c r="A604" s="8"/>
      <c r="B604" s="8"/>
      <c r="C604" s="8"/>
      <c r="F604" s="8"/>
    </row>
    <row r="605" spans="1:6" s="9" customFormat="1" ht="15" customHeight="1" x14ac:dyDescent="0.2">
      <c r="A605" s="8"/>
      <c r="B605" s="8"/>
      <c r="C605" s="8"/>
      <c r="F605" s="8"/>
    </row>
    <row r="606" spans="1:6" s="9" customFormat="1" ht="15" customHeight="1" x14ac:dyDescent="0.2">
      <c r="A606" s="8"/>
      <c r="B606" s="8"/>
      <c r="C606" s="8"/>
      <c r="F606" s="8"/>
    </row>
    <row r="607" spans="1:6" s="9" customFormat="1" ht="15" customHeight="1" x14ac:dyDescent="0.2">
      <c r="A607" s="8"/>
      <c r="B607" s="8"/>
      <c r="C607" s="8"/>
      <c r="F607" s="8"/>
    </row>
    <row r="608" spans="1:6" s="9" customFormat="1" ht="15" customHeight="1" x14ac:dyDescent="0.2">
      <c r="A608" s="8"/>
      <c r="B608" s="8"/>
      <c r="C608" s="8"/>
      <c r="F608" s="8"/>
    </row>
    <row r="609" spans="1:6" s="9" customFormat="1" ht="15" customHeight="1" x14ac:dyDescent="0.2">
      <c r="A609" s="8"/>
      <c r="B609" s="8"/>
      <c r="C609" s="8"/>
      <c r="F609" s="8"/>
    </row>
    <row r="610" spans="1:6" s="9" customFormat="1" ht="15" customHeight="1" x14ac:dyDescent="0.2">
      <c r="A610" s="8"/>
      <c r="B610" s="8"/>
      <c r="C610" s="8"/>
      <c r="F610" s="8"/>
    </row>
    <row r="611" spans="1:6" s="9" customFormat="1" ht="15" customHeight="1" x14ac:dyDescent="0.2">
      <c r="A611" s="8"/>
      <c r="B611" s="8"/>
      <c r="C611" s="8"/>
      <c r="F611" s="8"/>
    </row>
    <row r="612" spans="1:6" s="9" customFormat="1" ht="15" customHeight="1" x14ac:dyDescent="0.2">
      <c r="A612" s="8"/>
      <c r="B612" s="8"/>
      <c r="C612" s="8"/>
      <c r="F612" s="8"/>
    </row>
    <row r="613" spans="1:6" s="9" customFormat="1" ht="15" customHeight="1" x14ac:dyDescent="0.2">
      <c r="A613" s="8"/>
      <c r="B613" s="8"/>
      <c r="C613" s="8"/>
      <c r="F613" s="8"/>
    </row>
    <row r="614" spans="1:6" s="9" customFormat="1" ht="15" customHeight="1" x14ac:dyDescent="0.2">
      <c r="A614" s="8"/>
      <c r="B614" s="8"/>
      <c r="C614" s="8"/>
      <c r="F614" s="8"/>
    </row>
    <row r="615" spans="1:6" s="9" customFormat="1" ht="15" customHeight="1" x14ac:dyDescent="0.2">
      <c r="A615" s="8"/>
      <c r="B615" s="8"/>
      <c r="C615" s="8"/>
      <c r="F615" s="8"/>
    </row>
    <row r="616" spans="1:6" s="9" customFormat="1" ht="15" customHeight="1" x14ac:dyDescent="0.2">
      <c r="A616" s="8"/>
      <c r="B616" s="8"/>
      <c r="C616" s="8"/>
      <c r="F616" s="8"/>
    </row>
    <row r="617" spans="1:6" s="9" customFormat="1" ht="15" customHeight="1" x14ac:dyDescent="0.2">
      <c r="A617" s="8"/>
      <c r="B617" s="8"/>
      <c r="C617" s="8"/>
      <c r="F617" s="8"/>
    </row>
    <row r="618" spans="1:6" s="9" customFormat="1" ht="15" customHeight="1" x14ac:dyDescent="0.2">
      <c r="A618" s="8"/>
      <c r="B618" s="8"/>
      <c r="C618" s="8"/>
      <c r="F618" s="8"/>
    </row>
    <row r="619" spans="1:6" s="9" customFormat="1" ht="15" customHeight="1" x14ac:dyDescent="0.2">
      <c r="A619" s="8"/>
      <c r="B619" s="8"/>
      <c r="C619" s="8"/>
      <c r="F619" s="8"/>
    </row>
    <row r="620" spans="1:6" s="9" customFormat="1" ht="15" customHeight="1" x14ac:dyDescent="0.2">
      <c r="A620" s="8"/>
      <c r="B620" s="8"/>
      <c r="C620" s="8"/>
      <c r="F620" s="8"/>
    </row>
    <row r="621" spans="1:6" s="9" customFormat="1" ht="15" customHeight="1" x14ac:dyDescent="0.2">
      <c r="A621" s="8"/>
      <c r="B621" s="8"/>
      <c r="C621" s="8"/>
      <c r="F621" s="8"/>
    </row>
    <row r="622" spans="1:6" s="9" customFormat="1" ht="15" customHeight="1" x14ac:dyDescent="0.2">
      <c r="A622" s="8"/>
      <c r="B622" s="8"/>
      <c r="C622" s="8"/>
      <c r="F622" s="8"/>
    </row>
    <row r="623" spans="1:6" s="9" customFormat="1" ht="15" customHeight="1" x14ac:dyDescent="0.2">
      <c r="A623" s="8"/>
      <c r="B623" s="8"/>
      <c r="C623" s="8"/>
      <c r="F623" s="8"/>
    </row>
    <row r="624" spans="1:6" s="9" customFormat="1" ht="15" customHeight="1" x14ac:dyDescent="0.2">
      <c r="A624" s="8"/>
      <c r="B624" s="8"/>
      <c r="C624" s="8"/>
      <c r="F624" s="8"/>
    </row>
    <row r="625" spans="1:6" s="9" customFormat="1" ht="15" customHeight="1" x14ac:dyDescent="0.2">
      <c r="A625" s="8"/>
      <c r="B625" s="8"/>
      <c r="C625" s="8"/>
      <c r="F625" s="8"/>
    </row>
    <row r="626" spans="1:6" s="9" customFormat="1" ht="15" customHeight="1" x14ac:dyDescent="0.2">
      <c r="A626" s="8"/>
      <c r="B626" s="8"/>
      <c r="C626" s="8"/>
      <c r="F626" s="8"/>
    </row>
    <row r="627" spans="1:6" s="9" customFormat="1" ht="15" customHeight="1" x14ac:dyDescent="0.2">
      <c r="A627" s="8"/>
      <c r="B627" s="8"/>
      <c r="C627" s="8"/>
      <c r="F627" s="8"/>
    </row>
    <row r="628" spans="1:6" s="9" customFormat="1" ht="15" customHeight="1" x14ac:dyDescent="0.2">
      <c r="A628" s="8"/>
      <c r="B628" s="8"/>
      <c r="C628" s="8"/>
      <c r="F628" s="8"/>
    </row>
    <row r="629" spans="1:6" s="9" customFormat="1" ht="15" customHeight="1" x14ac:dyDescent="0.2">
      <c r="A629" s="8"/>
      <c r="B629" s="8"/>
      <c r="C629" s="8"/>
      <c r="F629" s="8"/>
    </row>
    <row r="630" spans="1:6" s="9" customFormat="1" ht="15" customHeight="1" x14ac:dyDescent="0.2">
      <c r="A630" s="8"/>
      <c r="B630" s="8"/>
      <c r="C630" s="8"/>
      <c r="F630" s="8"/>
    </row>
    <row r="631" spans="1:6" s="9" customFormat="1" ht="15" customHeight="1" x14ac:dyDescent="0.2">
      <c r="A631" s="8"/>
      <c r="B631" s="8"/>
      <c r="C631" s="8"/>
      <c r="F631" s="8"/>
    </row>
    <row r="632" spans="1:6" s="9" customFormat="1" ht="15" customHeight="1" x14ac:dyDescent="0.2">
      <c r="A632" s="8"/>
      <c r="B632" s="8"/>
      <c r="C632" s="8"/>
      <c r="F632" s="8"/>
    </row>
    <row r="633" spans="1:6" s="9" customFormat="1" ht="15" customHeight="1" x14ac:dyDescent="0.2">
      <c r="A633" s="8"/>
      <c r="B633" s="8"/>
      <c r="C633" s="8"/>
      <c r="F633" s="8"/>
    </row>
    <row r="634" spans="1:6" s="9" customFormat="1" ht="15" customHeight="1" x14ac:dyDescent="0.2">
      <c r="A634" s="8"/>
      <c r="B634" s="8"/>
      <c r="C634" s="8"/>
      <c r="F634" s="8"/>
    </row>
    <row r="635" spans="1:6" s="9" customFormat="1" ht="15" customHeight="1" x14ac:dyDescent="0.2">
      <c r="A635" s="8"/>
      <c r="B635" s="8"/>
      <c r="C635" s="8"/>
      <c r="F635" s="8"/>
    </row>
    <row r="636" spans="1:6" s="9" customFormat="1" ht="15" customHeight="1" x14ac:dyDescent="0.2">
      <c r="A636" s="8"/>
      <c r="B636" s="8"/>
      <c r="C636" s="8"/>
      <c r="F636" s="8"/>
    </row>
    <row r="637" spans="1:6" s="9" customFormat="1" ht="15" customHeight="1" x14ac:dyDescent="0.2">
      <c r="A637" s="8"/>
      <c r="B637" s="8"/>
      <c r="C637" s="8"/>
      <c r="F637" s="8"/>
    </row>
    <row r="638" spans="1:6" s="9" customFormat="1" ht="15" customHeight="1" x14ac:dyDescent="0.2">
      <c r="A638" s="8"/>
      <c r="B638" s="8"/>
      <c r="C638" s="8"/>
      <c r="F638" s="8"/>
    </row>
    <row r="639" spans="1:6" s="9" customFormat="1" ht="15" customHeight="1" x14ac:dyDescent="0.2">
      <c r="A639" s="8"/>
      <c r="B639" s="8"/>
      <c r="C639" s="8"/>
      <c r="F639" s="8"/>
    </row>
    <row r="640" spans="1:6" s="9" customFormat="1" ht="15" customHeight="1" x14ac:dyDescent="0.2">
      <c r="A640" s="8"/>
      <c r="B640" s="8"/>
      <c r="C640" s="8"/>
      <c r="F640" s="8"/>
    </row>
    <row r="641" spans="1:6" s="9" customFormat="1" ht="15" customHeight="1" x14ac:dyDescent="0.2">
      <c r="A641" s="8"/>
      <c r="B641" s="8"/>
      <c r="C641" s="8"/>
      <c r="F641" s="8"/>
    </row>
    <row r="642" spans="1:6" s="9" customFormat="1" ht="15" customHeight="1" x14ac:dyDescent="0.2">
      <c r="A642" s="8"/>
      <c r="B642" s="8"/>
      <c r="C642" s="8"/>
      <c r="F642" s="8"/>
    </row>
    <row r="643" spans="1:6" s="9" customFormat="1" ht="15" customHeight="1" x14ac:dyDescent="0.2">
      <c r="A643" s="8"/>
      <c r="B643" s="8"/>
      <c r="C643" s="8"/>
      <c r="F643" s="8"/>
    </row>
    <row r="644" spans="1:6" s="9" customFormat="1" ht="15" customHeight="1" x14ac:dyDescent="0.2">
      <c r="A644" s="8"/>
      <c r="B644" s="8"/>
      <c r="C644" s="8"/>
      <c r="F644" s="8"/>
    </row>
    <row r="645" spans="1:6" s="9" customFormat="1" ht="15" customHeight="1" x14ac:dyDescent="0.2">
      <c r="A645" s="8"/>
      <c r="B645" s="8"/>
      <c r="C645" s="8"/>
      <c r="F645" s="8"/>
    </row>
    <row r="646" spans="1:6" s="9" customFormat="1" ht="15" customHeight="1" x14ac:dyDescent="0.2">
      <c r="A646" s="8"/>
      <c r="B646" s="8"/>
      <c r="C646" s="8"/>
      <c r="F646" s="8"/>
    </row>
    <row r="647" spans="1:6" s="9" customFormat="1" ht="15" customHeight="1" x14ac:dyDescent="0.2">
      <c r="A647" s="8"/>
      <c r="B647" s="8"/>
      <c r="C647" s="8"/>
      <c r="F647" s="8"/>
    </row>
    <row r="648" spans="1:6" s="9" customFormat="1" ht="15" customHeight="1" x14ac:dyDescent="0.2">
      <c r="A648" s="8"/>
      <c r="B648" s="8"/>
      <c r="C648" s="8"/>
      <c r="F648" s="8"/>
    </row>
    <row r="649" spans="1:6" s="9" customFormat="1" ht="15" customHeight="1" x14ac:dyDescent="0.2">
      <c r="A649" s="8"/>
      <c r="B649" s="8"/>
      <c r="C649" s="8"/>
      <c r="F649" s="8"/>
    </row>
    <row r="650" spans="1:6" s="9" customFormat="1" ht="15" customHeight="1" x14ac:dyDescent="0.2">
      <c r="A650" s="8"/>
      <c r="B650" s="8"/>
      <c r="C650" s="8"/>
      <c r="F650" s="8"/>
    </row>
    <row r="651" spans="1:6" s="9" customFormat="1" ht="15" customHeight="1" x14ac:dyDescent="0.2">
      <c r="A651" s="8"/>
      <c r="B651" s="8"/>
      <c r="C651" s="8"/>
      <c r="F651" s="8"/>
    </row>
    <row r="652" spans="1:6" s="9" customFormat="1" ht="15" customHeight="1" x14ac:dyDescent="0.2">
      <c r="A652" s="8"/>
      <c r="B652" s="8"/>
      <c r="C652" s="8"/>
      <c r="F652" s="8"/>
    </row>
    <row r="653" spans="1:6" s="9" customFormat="1" ht="15" customHeight="1" x14ac:dyDescent="0.2">
      <c r="A653" s="8"/>
      <c r="B653" s="8"/>
      <c r="C653" s="8"/>
      <c r="F653" s="8"/>
    </row>
    <row r="654" spans="1:6" s="9" customFormat="1" ht="15" customHeight="1" x14ac:dyDescent="0.2">
      <c r="A654" s="8"/>
      <c r="B654" s="8"/>
      <c r="C654" s="8"/>
      <c r="F654" s="8"/>
    </row>
    <row r="655" spans="1:6" s="9" customFormat="1" ht="15" customHeight="1" x14ac:dyDescent="0.2">
      <c r="A655" s="8"/>
      <c r="B655" s="8"/>
      <c r="C655" s="8"/>
      <c r="F655" s="8"/>
    </row>
    <row r="656" spans="1:6" s="9" customFormat="1" ht="15" customHeight="1" x14ac:dyDescent="0.2">
      <c r="A656" s="8"/>
      <c r="B656" s="8"/>
      <c r="C656" s="8"/>
      <c r="F656" s="8"/>
    </row>
    <row r="657" spans="1:6" s="9" customFormat="1" ht="15" customHeight="1" x14ac:dyDescent="0.2">
      <c r="A657" s="8"/>
      <c r="B657" s="8"/>
      <c r="C657" s="8"/>
      <c r="F657" s="8"/>
    </row>
    <row r="658" spans="1:6" s="9" customFormat="1" ht="15" customHeight="1" x14ac:dyDescent="0.2">
      <c r="A658" s="8"/>
      <c r="B658" s="8"/>
      <c r="C658" s="8"/>
      <c r="F658" s="8"/>
    </row>
    <row r="659" spans="1:6" s="9" customFormat="1" ht="15" customHeight="1" x14ac:dyDescent="0.2">
      <c r="A659" s="8"/>
      <c r="B659" s="8"/>
      <c r="C659" s="8"/>
      <c r="F659" s="8"/>
    </row>
    <row r="660" spans="1:6" s="9" customFormat="1" ht="15" customHeight="1" x14ac:dyDescent="0.2">
      <c r="A660" s="8"/>
      <c r="B660" s="8"/>
      <c r="C660" s="8"/>
      <c r="F660" s="8"/>
    </row>
    <row r="661" spans="1:6" s="9" customFormat="1" ht="15" customHeight="1" x14ac:dyDescent="0.2">
      <c r="A661" s="8"/>
      <c r="B661" s="8"/>
      <c r="C661" s="8"/>
      <c r="F661" s="8"/>
    </row>
    <row r="662" spans="1:6" s="9" customFormat="1" ht="15" customHeight="1" x14ac:dyDescent="0.2">
      <c r="A662" s="8"/>
      <c r="B662" s="8"/>
      <c r="C662" s="8"/>
      <c r="F662" s="8"/>
    </row>
    <row r="663" spans="1:6" s="9" customFormat="1" ht="15" customHeight="1" x14ac:dyDescent="0.2">
      <c r="A663" s="8"/>
      <c r="B663" s="8"/>
      <c r="C663" s="8"/>
      <c r="F663" s="8"/>
    </row>
    <row r="664" spans="1:6" s="9" customFormat="1" ht="15" customHeight="1" x14ac:dyDescent="0.2">
      <c r="A664" s="8"/>
      <c r="B664" s="8"/>
      <c r="C664" s="8"/>
      <c r="F664" s="8"/>
    </row>
    <row r="665" spans="1:6" s="9" customFormat="1" ht="15" customHeight="1" x14ac:dyDescent="0.2">
      <c r="A665" s="8"/>
      <c r="B665" s="8"/>
      <c r="C665" s="8"/>
      <c r="F665" s="8"/>
    </row>
    <row r="666" spans="1:6" s="9" customFormat="1" ht="15" customHeight="1" x14ac:dyDescent="0.2">
      <c r="A666" s="8"/>
      <c r="B666" s="8"/>
      <c r="C666" s="8"/>
      <c r="F666" s="8"/>
    </row>
    <row r="667" spans="1:6" s="9" customFormat="1" ht="15" customHeight="1" x14ac:dyDescent="0.2">
      <c r="A667" s="8"/>
      <c r="B667" s="8"/>
      <c r="C667" s="8"/>
      <c r="F667" s="8"/>
    </row>
    <row r="668" spans="1:6" s="9" customFormat="1" ht="15" customHeight="1" x14ac:dyDescent="0.2">
      <c r="A668" s="8"/>
      <c r="B668" s="8"/>
      <c r="C668" s="8"/>
      <c r="F668" s="8"/>
    </row>
    <row r="669" spans="1:6" s="9" customFormat="1" ht="15" customHeight="1" x14ac:dyDescent="0.2">
      <c r="A669" s="8"/>
      <c r="B669" s="8"/>
      <c r="C669" s="8"/>
      <c r="F669" s="8"/>
    </row>
    <row r="670" spans="1:6" s="9" customFormat="1" ht="15" customHeight="1" x14ac:dyDescent="0.2">
      <c r="A670" s="8"/>
      <c r="B670" s="8"/>
      <c r="C670" s="8"/>
      <c r="F670" s="8"/>
    </row>
    <row r="671" spans="1:6" s="9" customFormat="1" ht="15" customHeight="1" x14ac:dyDescent="0.2">
      <c r="A671" s="8"/>
      <c r="B671" s="8"/>
      <c r="C671" s="8"/>
      <c r="F671" s="8"/>
    </row>
    <row r="672" spans="1:6" s="9" customFormat="1" ht="15" customHeight="1" x14ac:dyDescent="0.2">
      <c r="A672" s="8"/>
      <c r="B672" s="8"/>
      <c r="C672" s="8"/>
      <c r="F672" s="8"/>
    </row>
    <row r="673" spans="1:6" s="9" customFormat="1" ht="15" customHeight="1" x14ac:dyDescent="0.2">
      <c r="A673" s="8"/>
      <c r="B673" s="8"/>
      <c r="C673" s="8"/>
      <c r="F673" s="8"/>
    </row>
    <row r="674" spans="1:6" s="9" customFormat="1" ht="15" customHeight="1" x14ac:dyDescent="0.2">
      <c r="A674" s="8"/>
      <c r="B674" s="8"/>
      <c r="C674" s="8"/>
      <c r="F674" s="8"/>
    </row>
    <row r="675" spans="1:6" s="9" customFormat="1" ht="15" customHeight="1" x14ac:dyDescent="0.2">
      <c r="A675" s="8"/>
      <c r="B675" s="8"/>
      <c r="C675" s="8"/>
      <c r="F675" s="8"/>
    </row>
    <row r="676" spans="1:6" s="9" customFormat="1" ht="15" customHeight="1" x14ac:dyDescent="0.2">
      <c r="A676" s="8"/>
      <c r="B676" s="8"/>
      <c r="C676" s="8"/>
      <c r="F676" s="8"/>
    </row>
    <row r="677" spans="1:6" s="9" customFormat="1" ht="15" customHeight="1" x14ac:dyDescent="0.2">
      <c r="A677" s="8"/>
      <c r="B677" s="8"/>
      <c r="C677" s="8"/>
      <c r="F677" s="8"/>
    </row>
    <row r="678" spans="1:6" s="9" customFormat="1" ht="15" customHeight="1" x14ac:dyDescent="0.2">
      <c r="A678" s="8"/>
      <c r="B678" s="8"/>
      <c r="C678" s="8"/>
      <c r="F678" s="8"/>
    </row>
    <row r="679" spans="1:6" s="9" customFormat="1" ht="15" customHeight="1" x14ac:dyDescent="0.2">
      <c r="A679" s="8"/>
      <c r="B679" s="8"/>
      <c r="C679" s="8"/>
      <c r="F679" s="8"/>
    </row>
    <row r="680" spans="1:6" s="9" customFormat="1" ht="15" customHeight="1" x14ac:dyDescent="0.2">
      <c r="A680" s="8"/>
      <c r="B680" s="8"/>
      <c r="C680" s="8"/>
      <c r="F680" s="8"/>
    </row>
    <row r="681" spans="1:6" s="9" customFormat="1" ht="15" customHeight="1" x14ac:dyDescent="0.2">
      <c r="A681" s="8"/>
      <c r="B681" s="8"/>
      <c r="C681" s="8"/>
      <c r="F681" s="8"/>
    </row>
    <row r="682" spans="1:6" s="9" customFormat="1" ht="15" customHeight="1" x14ac:dyDescent="0.2">
      <c r="A682" s="8"/>
      <c r="B682" s="8"/>
      <c r="C682" s="8"/>
      <c r="F682" s="8"/>
    </row>
    <row r="683" spans="1:6" s="9" customFormat="1" ht="15" customHeight="1" x14ac:dyDescent="0.2">
      <c r="A683" s="8"/>
      <c r="B683" s="8"/>
      <c r="C683" s="8"/>
      <c r="F683" s="8"/>
    </row>
    <row r="684" spans="1:6" s="9" customFormat="1" ht="15" customHeight="1" x14ac:dyDescent="0.2">
      <c r="A684" s="8"/>
      <c r="B684" s="8"/>
      <c r="C684" s="8"/>
      <c r="F684" s="8"/>
    </row>
    <row r="685" spans="1:6" s="9" customFormat="1" ht="15" customHeight="1" x14ac:dyDescent="0.2">
      <c r="A685" s="8"/>
      <c r="B685" s="8"/>
      <c r="C685" s="8"/>
      <c r="F685" s="8"/>
    </row>
    <row r="686" spans="1:6" s="9" customFormat="1" ht="15" customHeight="1" x14ac:dyDescent="0.2">
      <c r="A686" s="8"/>
      <c r="B686" s="8"/>
      <c r="C686" s="8"/>
      <c r="F686" s="8"/>
    </row>
    <row r="687" spans="1:6" s="9" customFormat="1" ht="15" customHeight="1" x14ac:dyDescent="0.2">
      <c r="A687" s="8"/>
      <c r="B687" s="8"/>
      <c r="C687" s="8"/>
      <c r="F687" s="8"/>
    </row>
    <row r="688" spans="1:6" s="9" customFormat="1" ht="15" customHeight="1" x14ac:dyDescent="0.2">
      <c r="A688" s="8"/>
      <c r="B688" s="8"/>
      <c r="C688" s="8"/>
      <c r="F688" s="8"/>
    </row>
    <row r="689" spans="1:6" s="9" customFormat="1" ht="15" customHeight="1" x14ac:dyDescent="0.2">
      <c r="A689" s="8"/>
      <c r="B689" s="8"/>
      <c r="C689" s="8"/>
      <c r="F689" s="8"/>
    </row>
    <row r="690" spans="1:6" s="9" customFormat="1" ht="15" customHeight="1" x14ac:dyDescent="0.2">
      <c r="A690" s="8"/>
      <c r="B690" s="8"/>
      <c r="C690" s="8"/>
      <c r="F690" s="8"/>
    </row>
    <row r="691" spans="1:6" s="9" customFormat="1" ht="15" customHeight="1" x14ac:dyDescent="0.2">
      <c r="A691" s="8"/>
      <c r="B691" s="8"/>
      <c r="C691" s="8"/>
      <c r="F691" s="8"/>
    </row>
    <row r="692" spans="1:6" s="9" customFormat="1" ht="15" customHeight="1" x14ac:dyDescent="0.2">
      <c r="A692" s="8"/>
      <c r="B692" s="8"/>
      <c r="C692" s="8"/>
      <c r="F692" s="8"/>
    </row>
    <row r="693" spans="1:6" s="9" customFormat="1" ht="15" customHeight="1" x14ac:dyDescent="0.2">
      <c r="A693" s="8"/>
      <c r="B693" s="8"/>
      <c r="C693" s="8"/>
      <c r="F693" s="8"/>
    </row>
    <row r="694" spans="1:6" s="9" customFormat="1" ht="15" customHeight="1" x14ac:dyDescent="0.2">
      <c r="A694" s="8"/>
      <c r="B694" s="8"/>
      <c r="C694" s="8"/>
      <c r="F694" s="8"/>
    </row>
    <row r="695" spans="1:6" s="9" customFormat="1" ht="15" customHeight="1" x14ac:dyDescent="0.2">
      <c r="A695" s="8"/>
      <c r="B695" s="8"/>
      <c r="C695" s="8"/>
      <c r="F695" s="8"/>
    </row>
    <row r="696" spans="1:6" s="9" customFormat="1" ht="15" customHeight="1" x14ac:dyDescent="0.2">
      <c r="A696" s="8"/>
      <c r="B696" s="8"/>
      <c r="C696" s="8"/>
      <c r="F696" s="8"/>
    </row>
    <row r="697" spans="1:6" s="9" customFormat="1" ht="15" customHeight="1" x14ac:dyDescent="0.2">
      <c r="A697" s="8"/>
      <c r="B697" s="8"/>
      <c r="C697" s="8"/>
      <c r="F697" s="8"/>
    </row>
    <row r="698" spans="1:6" s="9" customFormat="1" ht="15" customHeight="1" x14ac:dyDescent="0.2">
      <c r="A698" s="8"/>
      <c r="B698" s="8"/>
      <c r="C698" s="8"/>
      <c r="F698" s="8"/>
    </row>
    <row r="699" spans="1:6" s="9" customFormat="1" ht="15" customHeight="1" x14ac:dyDescent="0.2">
      <c r="A699" s="8"/>
      <c r="B699" s="8"/>
      <c r="C699" s="8"/>
      <c r="F699" s="8"/>
    </row>
    <row r="700" spans="1:6" s="9" customFormat="1" ht="15" customHeight="1" x14ac:dyDescent="0.2">
      <c r="A700" s="8"/>
      <c r="B700" s="8"/>
      <c r="C700" s="8"/>
      <c r="F700" s="8"/>
    </row>
    <row r="701" spans="1:6" s="9" customFormat="1" ht="15" customHeight="1" x14ac:dyDescent="0.2">
      <c r="A701" s="8"/>
      <c r="B701" s="8"/>
      <c r="C701" s="8"/>
      <c r="F701" s="8"/>
    </row>
    <row r="702" spans="1:6" s="9" customFormat="1" ht="15" customHeight="1" x14ac:dyDescent="0.2">
      <c r="A702" s="8"/>
      <c r="B702" s="8"/>
      <c r="C702" s="8"/>
      <c r="F702" s="8"/>
    </row>
    <row r="703" spans="1:6" s="9" customFormat="1" ht="15" customHeight="1" x14ac:dyDescent="0.2">
      <c r="A703" s="8"/>
      <c r="B703" s="8"/>
      <c r="C703" s="8"/>
      <c r="F703" s="8"/>
    </row>
    <row r="704" spans="1:6" s="9" customFormat="1" ht="15" customHeight="1" x14ac:dyDescent="0.2">
      <c r="A704" s="8"/>
      <c r="B704" s="8"/>
      <c r="C704" s="8"/>
      <c r="F704" s="8"/>
    </row>
    <row r="705" spans="1:6" s="9" customFormat="1" ht="15" customHeight="1" x14ac:dyDescent="0.2">
      <c r="A705" s="8"/>
      <c r="B705" s="8"/>
      <c r="C705" s="8"/>
      <c r="F705" s="8"/>
    </row>
    <row r="706" spans="1:6" s="9" customFormat="1" ht="15" customHeight="1" x14ac:dyDescent="0.2">
      <c r="A706" s="8"/>
      <c r="B706" s="8"/>
      <c r="C706" s="8"/>
      <c r="F706" s="8"/>
    </row>
    <row r="707" spans="1:6" s="9" customFormat="1" ht="15" customHeight="1" x14ac:dyDescent="0.2">
      <c r="A707" s="8"/>
      <c r="B707" s="8"/>
      <c r="C707" s="8"/>
      <c r="F707" s="8"/>
    </row>
    <row r="708" spans="1:6" s="9" customFormat="1" ht="15" customHeight="1" x14ac:dyDescent="0.2">
      <c r="A708" s="8"/>
      <c r="B708" s="8"/>
      <c r="C708" s="8"/>
      <c r="F708" s="8"/>
    </row>
    <row r="709" spans="1:6" s="9" customFormat="1" ht="15" customHeight="1" x14ac:dyDescent="0.2">
      <c r="A709" s="8"/>
      <c r="B709" s="8"/>
      <c r="C709" s="8"/>
      <c r="F709" s="8"/>
    </row>
    <row r="710" spans="1:6" s="9" customFormat="1" ht="15" customHeight="1" x14ac:dyDescent="0.2">
      <c r="A710" s="8"/>
      <c r="B710" s="8"/>
      <c r="C710" s="8"/>
      <c r="F710" s="8"/>
    </row>
    <row r="711" spans="1:6" s="9" customFormat="1" ht="15" customHeight="1" x14ac:dyDescent="0.2">
      <c r="A711" s="8"/>
      <c r="B711" s="8"/>
      <c r="C711" s="8"/>
      <c r="F711" s="8"/>
    </row>
    <row r="712" spans="1:6" s="9" customFormat="1" ht="15" customHeight="1" x14ac:dyDescent="0.2">
      <c r="A712" s="8"/>
      <c r="B712" s="8"/>
      <c r="C712" s="8"/>
      <c r="F712" s="8"/>
    </row>
    <row r="713" spans="1:6" s="9" customFormat="1" ht="15" customHeight="1" x14ac:dyDescent="0.2">
      <c r="A713" s="8"/>
      <c r="B713" s="8"/>
      <c r="C713" s="8"/>
      <c r="F713" s="8"/>
    </row>
    <row r="714" spans="1:6" s="9" customFormat="1" ht="15" customHeight="1" x14ac:dyDescent="0.2">
      <c r="A714" s="8"/>
      <c r="B714" s="8"/>
      <c r="C714" s="8"/>
      <c r="F714" s="8"/>
    </row>
    <row r="715" spans="1:6" s="9" customFormat="1" ht="15" customHeight="1" x14ac:dyDescent="0.2">
      <c r="A715" s="8"/>
      <c r="B715" s="8"/>
      <c r="C715" s="8"/>
      <c r="F715" s="8"/>
    </row>
    <row r="716" spans="1:6" s="9" customFormat="1" ht="15" customHeight="1" x14ac:dyDescent="0.2">
      <c r="A716" s="8"/>
      <c r="B716" s="8"/>
      <c r="C716" s="8"/>
      <c r="F716" s="8"/>
    </row>
    <row r="717" spans="1:6" s="9" customFormat="1" ht="15" customHeight="1" x14ac:dyDescent="0.2">
      <c r="A717" s="8"/>
      <c r="B717" s="8"/>
      <c r="C717" s="8"/>
      <c r="F717" s="8"/>
    </row>
    <row r="718" spans="1:6" s="9" customFormat="1" ht="15" customHeight="1" x14ac:dyDescent="0.2">
      <c r="A718" s="8"/>
      <c r="B718" s="8"/>
      <c r="C718" s="8"/>
      <c r="F718" s="8"/>
    </row>
    <row r="719" spans="1:6" s="9" customFormat="1" ht="15" customHeight="1" x14ac:dyDescent="0.2">
      <c r="A719" s="8"/>
      <c r="B719" s="8"/>
      <c r="C719" s="8"/>
      <c r="F719" s="8"/>
    </row>
    <row r="720" spans="1:6" s="9" customFormat="1" ht="15" customHeight="1" x14ac:dyDescent="0.2">
      <c r="A720" s="8"/>
      <c r="B720" s="8"/>
      <c r="C720" s="8"/>
      <c r="F720" s="8"/>
    </row>
    <row r="721" spans="1:6" s="9" customFormat="1" ht="15" customHeight="1" x14ac:dyDescent="0.2">
      <c r="A721" s="8"/>
      <c r="B721" s="8"/>
      <c r="C721" s="8"/>
      <c r="F721" s="8"/>
    </row>
    <row r="722" spans="1:6" s="9" customFormat="1" ht="15" customHeight="1" x14ac:dyDescent="0.2">
      <c r="A722" s="8"/>
      <c r="B722" s="8"/>
      <c r="C722" s="8"/>
      <c r="F722" s="8"/>
    </row>
    <row r="723" spans="1:6" s="9" customFormat="1" ht="15" customHeight="1" x14ac:dyDescent="0.2">
      <c r="A723" s="8"/>
      <c r="B723" s="8"/>
      <c r="C723" s="8"/>
      <c r="F723" s="8"/>
    </row>
    <row r="724" spans="1:6" s="9" customFormat="1" ht="15" customHeight="1" x14ac:dyDescent="0.2">
      <c r="A724" s="8"/>
      <c r="B724" s="8"/>
      <c r="C724" s="8"/>
      <c r="F724" s="8"/>
    </row>
    <row r="725" spans="1:6" s="9" customFormat="1" ht="15" customHeight="1" x14ac:dyDescent="0.2">
      <c r="A725" s="8"/>
      <c r="B725" s="8"/>
      <c r="C725" s="8"/>
      <c r="F725" s="8"/>
    </row>
    <row r="726" spans="1:6" s="9" customFormat="1" ht="15" customHeight="1" x14ac:dyDescent="0.2">
      <c r="A726" s="8"/>
      <c r="B726" s="8"/>
      <c r="C726" s="8"/>
      <c r="F726" s="8"/>
    </row>
    <row r="727" spans="1:6" s="9" customFormat="1" ht="15" customHeight="1" x14ac:dyDescent="0.2">
      <c r="A727" s="8"/>
      <c r="B727" s="8"/>
      <c r="C727" s="8"/>
      <c r="F727" s="8"/>
    </row>
    <row r="728" spans="1:6" s="9" customFormat="1" ht="15" customHeight="1" x14ac:dyDescent="0.2">
      <c r="A728" s="8"/>
      <c r="B728" s="8"/>
      <c r="C728" s="8"/>
      <c r="F728" s="8"/>
    </row>
    <row r="729" spans="1:6" s="9" customFormat="1" ht="15" customHeight="1" x14ac:dyDescent="0.2">
      <c r="A729" s="8"/>
      <c r="B729" s="8"/>
      <c r="C729" s="8"/>
      <c r="F729" s="8"/>
    </row>
    <row r="730" spans="1:6" s="9" customFormat="1" ht="15" customHeight="1" x14ac:dyDescent="0.2">
      <c r="A730" s="8"/>
      <c r="B730" s="8"/>
      <c r="C730" s="8"/>
      <c r="F730" s="8"/>
    </row>
    <row r="731" spans="1:6" s="9" customFormat="1" ht="15" customHeight="1" x14ac:dyDescent="0.2">
      <c r="A731" s="8"/>
      <c r="B731" s="8"/>
      <c r="C731" s="8"/>
      <c r="F731" s="8"/>
    </row>
    <row r="732" spans="1:6" s="9" customFormat="1" ht="15" customHeight="1" x14ac:dyDescent="0.2">
      <c r="A732" s="8"/>
      <c r="B732" s="8"/>
      <c r="C732" s="8"/>
      <c r="F732" s="8"/>
    </row>
    <row r="733" spans="1:6" s="9" customFormat="1" ht="15" customHeight="1" x14ac:dyDescent="0.2">
      <c r="A733" s="8"/>
      <c r="B733" s="8"/>
      <c r="C733" s="8"/>
      <c r="F733" s="8"/>
    </row>
    <row r="734" spans="1:6" s="9" customFormat="1" ht="15" customHeight="1" x14ac:dyDescent="0.2">
      <c r="A734" s="8"/>
      <c r="B734" s="8"/>
      <c r="C734" s="8"/>
      <c r="F734" s="8"/>
    </row>
    <row r="735" spans="1:6" s="9" customFormat="1" ht="15" customHeight="1" x14ac:dyDescent="0.2">
      <c r="A735" s="8"/>
      <c r="B735" s="8"/>
      <c r="C735" s="8"/>
      <c r="F735" s="8"/>
    </row>
    <row r="736" spans="1:6" s="9" customFormat="1" ht="15" customHeight="1" x14ac:dyDescent="0.2">
      <c r="A736" s="8"/>
      <c r="B736" s="8"/>
      <c r="C736" s="8"/>
      <c r="F736" s="8"/>
    </row>
    <row r="737" spans="1:6" s="9" customFormat="1" ht="15" customHeight="1" x14ac:dyDescent="0.2">
      <c r="A737" s="8"/>
      <c r="B737" s="8"/>
      <c r="C737" s="8"/>
      <c r="F737" s="8"/>
    </row>
    <row r="738" spans="1:6" s="9" customFormat="1" ht="15" customHeight="1" x14ac:dyDescent="0.2">
      <c r="A738" s="8"/>
      <c r="B738" s="8"/>
      <c r="C738" s="8"/>
      <c r="F738" s="8"/>
    </row>
    <row r="739" spans="1:6" s="9" customFormat="1" ht="15" customHeight="1" x14ac:dyDescent="0.2">
      <c r="A739" s="8"/>
      <c r="B739" s="8"/>
      <c r="C739" s="8"/>
      <c r="F739" s="8"/>
    </row>
    <row r="740" spans="1:6" s="9" customFormat="1" ht="15" customHeight="1" x14ac:dyDescent="0.2">
      <c r="A740" s="8"/>
      <c r="B740" s="8"/>
      <c r="C740" s="8"/>
      <c r="F740" s="8"/>
    </row>
    <row r="741" spans="1:6" s="9" customFormat="1" ht="15" customHeight="1" x14ac:dyDescent="0.2">
      <c r="A741" s="8"/>
      <c r="B741" s="8"/>
      <c r="C741" s="8"/>
      <c r="F741" s="8"/>
    </row>
    <row r="742" spans="1:6" s="9" customFormat="1" ht="15" customHeight="1" x14ac:dyDescent="0.2">
      <c r="A742" s="8"/>
      <c r="B742" s="8"/>
      <c r="C742" s="8"/>
      <c r="F742" s="8"/>
    </row>
    <row r="743" spans="1:6" s="9" customFormat="1" ht="15" customHeight="1" x14ac:dyDescent="0.2">
      <c r="A743" s="8"/>
      <c r="B743" s="8"/>
      <c r="C743" s="8"/>
      <c r="F743" s="8"/>
    </row>
    <row r="744" spans="1:6" s="9" customFormat="1" ht="15" customHeight="1" x14ac:dyDescent="0.2">
      <c r="A744" s="8"/>
      <c r="B744" s="8"/>
      <c r="C744" s="8"/>
      <c r="F744" s="8"/>
    </row>
    <row r="745" spans="1:6" s="9" customFormat="1" ht="15" customHeight="1" x14ac:dyDescent="0.2">
      <c r="A745" s="8"/>
      <c r="B745" s="8"/>
      <c r="C745" s="8"/>
      <c r="F745" s="8"/>
    </row>
    <row r="746" spans="1:6" s="9" customFormat="1" ht="15" customHeight="1" x14ac:dyDescent="0.2">
      <c r="A746" s="8"/>
      <c r="B746" s="8"/>
      <c r="C746" s="8"/>
      <c r="F746" s="8"/>
    </row>
    <row r="747" spans="1:6" s="9" customFormat="1" ht="15" customHeight="1" x14ac:dyDescent="0.2">
      <c r="A747" s="8"/>
      <c r="B747" s="8"/>
      <c r="C747" s="8"/>
      <c r="F747" s="8"/>
    </row>
    <row r="748" spans="1:6" s="9" customFormat="1" ht="15" customHeight="1" x14ac:dyDescent="0.2">
      <c r="A748" s="8"/>
      <c r="B748" s="8"/>
      <c r="C748" s="8"/>
      <c r="F748" s="8"/>
    </row>
    <row r="749" spans="1:6" s="9" customFormat="1" ht="15" customHeight="1" x14ac:dyDescent="0.2">
      <c r="A749" s="8"/>
      <c r="B749" s="8"/>
      <c r="C749" s="8"/>
      <c r="F749" s="8"/>
    </row>
    <row r="750" spans="1:6" s="9" customFormat="1" ht="15" customHeight="1" x14ac:dyDescent="0.2">
      <c r="A750" s="8"/>
      <c r="B750" s="8"/>
      <c r="C750" s="8"/>
      <c r="F750" s="8"/>
    </row>
    <row r="751" spans="1:6" s="9" customFormat="1" ht="15" customHeight="1" x14ac:dyDescent="0.2">
      <c r="A751" s="8"/>
      <c r="B751" s="8"/>
      <c r="C751" s="8"/>
      <c r="F751" s="8"/>
    </row>
    <row r="752" spans="1:6" s="9" customFormat="1" ht="15" customHeight="1" x14ac:dyDescent="0.2">
      <c r="A752" s="8"/>
      <c r="B752" s="8"/>
      <c r="C752" s="8"/>
      <c r="F752" s="8"/>
    </row>
    <row r="753" spans="1:6" s="9" customFormat="1" ht="15" customHeight="1" x14ac:dyDescent="0.2">
      <c r="A753" s="8"/>
      <c r="B753" s="8"/>
      <c r="C753" s="8"/>
      <c r="F753" s="8"/>
    </row>
    <row r="754" spans="1:6" s="9" customFormat="1" ht="15" customHeight="1" x14ac:dyDescent="0.2">
      <c r="A754" s="8"/>
      <c r="B754" s="8"/>
      <c r="C754" s="8"/>
      <c r="F754" s="8"/>
    </row>
    <row r="755" spans="1:6" s="9" customFormat="1" ht="15" customHeight="1" x14ac:dyDescent="0.2">
      <c r="A755" s="8"/>
      <c r="B755" s="8"/>
      <c r="C755" s="8"/>
      <c r="F755" s="8"/>
    </row>
    <row r="756" spans="1:6" s="9" customFormat="1" ht="15" customHeight="1" x14ac:dyDescent="0.2">
      <c r="A756" s="8"/>
      <c r="B756" s="8"/>
      <c r="C756" s="8"/>
      <c r="F756" s="8"/>
    </row>
    <row r="757" spans="1:6" s="9" customFormat="1" ht="15" customHeight="1" x14ac:dyDescent="0.2">
      <c r="A757" s="8"/>
      <c r="B757" s="8"/>
      <c r="C757" s="8"/>
      <c r="F757" s="8"/>
    </row>
    <row r="758" spans="1:6" s="9" customFormat="1" ht="15" customHeight="1" x14ac:dyDescent="0.2">
      <c r="A758" s="8"/>
      <c r="B758" s="8"/>
      <c r="C758" s="8"/>
      <c r="F758" s="8"/>
    </row>
    <row r="759" spans="1:6" s="9" customFormat="1" ht="15" customHeight="1" x14ac:dyDescent="0.2">
      <c r="A759" s="8"/>
      <c r="B759" s="8"/>
      <c r="C759" s="8"/>
      <c r="F759" s="8"/>
    </row>
    <row r="760" spans="1:6" s="9" customFormat="1" ht="15" customHeight="1" x14ac:dyDescent="0.2">
      <c r="A760" s="8"/>
      <c r="B760" s="8"/>
      <c r="C760" s="8"/>
      <c r="F760" s="8"/>
    </row>
    <row r="761" spans="1:6" s="9" customFormat="1" ht="15" customHeight="1" x14ac:dyDescent="0.2">
      <c r="A761" s="8"/>
      <c r="B761" s="8"/>
      <c r="C761" s="8"/>
      <c r="F761" s="8"/>
    </row>
    <row r="762" spans="1:6" s="9" customFormat="1" ht="15" customHeight="1" x14ac:dyDescent="0.2">
      <c r="A762" s="8"/>
      <c r="B762" s="8"/>
      <c r="C762" s="8"/>
      <c r="F762" s="8"/>
    </row>
    <row r="763" spans="1:6" s="9" customFormat="1" ht="15" customHeight="1" x14ac:dyDescent="0.2">
      <c r="A763" s="8"/>
      <c r="B763" s="8"/>
      <c r="C763" s="8"/>
      <c r="F763" s="8"/>
    </row>
    <row r="764" spans="1:6" s="9" customFormat="1" ht="15" customHeight="1" x14ac:dyDescent="0.2">
      <c r="A764" s="8"/>
      <c r="B764" s="8"/>
      <c r="C764" s="8"/>
      <c r="F764" s="8"/>
    </row>
    <row r="765" spans="1:6" s="9" customFormat="1" ht="15" customHeight="1" x14ac:dyDescent="0.2">
      <c r="A765" s="8"/>
      <c r="B765" s="8"/>
      <c r="C765" s="8"/>
      <c r="F765" s="8"/>
    </row>
    <row r="766" spans="1:6" s="9" customFormat="1" ht="15" customHeight="1" x14ac:dyDescent="0.2">
      <c r="A766" s="8"/>
      <c r="B766" s="8"/>
      <c r="C766" s="8"/>
      <c r="F766" s="8"/>
    </row>
    <row r="767" spans="1:6" s="9" customFormat="1" ht="15" customHeight="1" x14ac:dyDescent="0.2">
      <c r="A767" s="8"/>
      <c r="B767" s="8"/>
      <c r="C767" s="8"/>
      <c r="F767" s="8"/>
    </row>
    <row r="768" spans="1:6" s="9" customFormat="1" ht="15" customHeight="1" x14ac:dyDescent="0.2">
      <c r="A768" s="8"/>
      <c r="B768" s="8"/>
      <c r="C768" s="8"/>
      <c r="F768" s="8"/>
    </row>
    <row r="769" spans="1:6" s="9" customFormat="1" ht="15" customHeight="1" x14ac:dyDescent="0.2">
      <c r="A769" s="8"/>
      <c r="B769" s="8"/>
      <c r="C769" s="8"/>
      <c r="F769" s="8"/>
    </row>
    <row r="770" spans="1:6" s="9" customFormat="1" ht="15" customHeight="1" x14ac:dyDescent="0.2">
      <c r="A770" s="8"/>
      <c r="B770" s="8"/>
      <c r="C770" s="8"/>
      <c r="F770" s="8"/>
    </row>
    <row r="771" spans="1:6" s="9" customFormat="1" ht="15" customHeight="1" x14ac:dyDescent="0.2">
      <c r="A771" s="8"/>
      <c r="B771" s="8"/>
      <c r="C771" s="8"/>
      <c r="F771" s="8"/>
    </row>
    <row r="772" spans="1:6" s="9" customFormat="1" ht="15" customHeight="1" x14ac:dyDescent="0.2">
      <c r="A772" s="8"/>
      <c r="B772" s="8"/>
      <c r="C772" s="8"/>
      <c r="F772" s="8"/>
    </row>
    <row r="773" spans="1:6" s="9" customFormat="1" ht="15" customHeight="1" x14ac:dyDescent="0.2">
      <c r="A773" s="8"/>
      <c r="B773" s="8"/>
      <c r="C773" s="8"/>
      <c r="F773" s="8"/>
    </row>
    <row r="774" spans="1:6" s="9" customFormat="1" ht="15" customHeight="1" x14ac:dyDescent="0.2">
      <c r="A774" s="8"/>
      <c r="B774" s="8"/>
      <c r="C774" s="8"/>
      <c r="F774" s="8"/>
    </row>
    <row r="775" spans="1:6" s="9" customFormat="1" ht="15" customHeight="1" x14ac:dyDescent="0.2">
      <c r="A775" s="8"/>
      <c r="B775" s="8"/>
      <c r="C775" s="8"/>
      <c r="F775" s="8"/>
    </row>
    <row r="776" spans="1:6" s="9" customFormat="1" ht="15" customHeight="1" x14ac:dyDescent="0.2">
      <c r="A776" s="8"/>
      <c r="B776" s="8"/>
      <c r="C776" s="8"/>
      <c r="F776" s="8"/>
    </row>
    <row r="777" spans="1:6" s="9" customFormat="1" ht="15" customHeight="1" x14ac:dyDescent="0.2">
      <c r="A777" s="8"/>
      <c r="B777" s="8"/>
      <c r="C777" s="8"/>
      <c r="F777" s="8"/>
    </row>
    <row r="778" spans="1:6" s="9" customFormat="1" ht="15" customHeight="1" x14ac:dyDescent="0.2">
      <c r="A778" s="8"/>
      <c r="B778" s="8"/>
      <c r="C778" s="8"/>
      <c r="F778" s="8"/>
    </row>
    <row r="779" spans="1:6" s="9" customFormat="1" ht="15" customHeight="1" x14ac:dyDescent="0.2">
      <c r="A779" s="8"/>
      <c r="B779" s="8"/>
      <c r="C779" s="8"/>
      <c r="F779" s="8"/>
    </row>
    <row r="780" spans="1:6" s="9" customFormat="1" ht="15" customHeight="1" x14ac:dyDescent="0.2">
      <c r="A780" s="8"/>
      <c r="B780" s="8"/>
      <c r="C780" s="8"/>
      <c r="F780" s="8"/>
    </row>
    <row r="781" spans="1:6" s="9" customFormat="1" ht="15" customHeight="1" x14ac:dyDescent="0.2">
      <c r="A781" s="8"/>
      <c r="B781" s="8"/>
      <c r="C781" s="8"/>
      <c r="F781" s="8"/>
    </row>
    <row r="782" spans="1:6" s="9" customFormat="1" ht="15" customHeight="1" x14ac:dyDescent="0.2">
      <c r="A782" s="8"/>
      <c r="B782" s="8"/>
      <c r="C782" s="8"/>
      <c r="F782" s="8"/>
    </row>
    <row r="783" spans="1:6" s="9" customFormat="1" ht="15" customHeight="1" x14ac:dyDescent="0.2">
      <c r="A783" s="8"/>
      <c r="B783" s="8"/>
      <c r="C783" s="8"/>
      <c r="F783" s="8"/>
    </row>
    <row r="784" spans="1:6" s="9" customFormat="1" ht="15" customHeight="1" x14ac:dyDescent="0.2">
      <c r="A784" s="8"/>
      <c r="B784" s="8"/>
      <c r="C784" s="8"/>
      <c r="F784" s="8"/>
    </row>
    <row r="785" spans="1:6" s="9" customFormat="1" ht="15" customHeight="1" x14ac:dyDescent="0.2">
      <c r="A785" s="8"/>
      <c r="B785" s="8"/>
      <c r="C785" s="8"/>
      <c r="F785" s="8"/>
    </row>
    <row r="786" spans="1:6" s="9" customFormat="1" ht="15" customHeight="1" x14ac:dyDescent="0.2">
      <c r="A786" s="8"/>
      <c r="B786" s="8"/>
      <c r="C786" s="8"/>
      <c r="F786" s="8"/>
    </row>
    <row r="787" spans="1:6" s="9" customFormat="1" ht="15" customHeight="1" x14ac:dyDescent="0.2">
      <c r="A787" s="8"/>
      <c r="B787" s="8"/>
      <c r="C787" s="8"/>
      <c r="F787" s="8"/>
    </row>
    <row r="788" spans="1:6" s="9" customFormat="1" ht="15" customHeight="1" x14ac:dyDescent="0.2">
      <c r="A788" s="8"/>
      <c r="B788" s="8"/>
      <c r="C788" s="8"/>
      <c r="F788" s="8"/>
    </row>
    <row r="789" spans="1:6" s="9" customFormat="1" ht="15" customHeight="1" x14ac:dyDescent="0.2">
      <c r="A789" s="8"/>
      <c r="B789" s="8"/>
      <c r="C789" s="8"/>
      <c r="F789" s="8"/>
    </row>
    <row r="790" spans="1:6" s="9" customFormat="1" ht="15" customHeight="1" x14ac:dyDescent="0.2">
      <c r="A790" s="8"/>
      <c r="B790" s="8"/>
      <c r="C790" s="8"/>
      <c r="F790" s="8"/>
    </row>
    <row r="791" spans="1:6" s="9" customFormat="1" ht="15" customHeight="1" x14ac:dyDescent="0.2">
      <c r="A791" s="8"/>
      <c r="B791" s="8"/>
      <c r="C791" s="8"/>
      <c r="F791" s="8"/>
    </row>
    <row r="792" spans="1:6" s="9" customFormat="1" ht="15" customHeight="1" x14ac:dyDescent="0.2">
      <c r="A792" s="8"/>
      <c r="B792" s="8"/>
      <c r="C792" s="8"/>
      <c r="F792" s="8"/>
    </row>
    <row r="793" spans="1:6" s="9" customFormat="1" ht="15" customHeight="1" x14ac:dyDescent="0.2">
      <c r="A793" s="8"/>
      <c r="B793" s="8"/>
      <c r="C793" s="8"/>
      <c r="F793" s="8"/>
    </row>
    <row r="794" spans="1:6" s="9" customFormat="1" ht="15" customHeight="1" x14ac:dyDescent="0.2">
      <c r="A794" s="8"/>
      <c r="B794" s="8"/>
      <c r="C794" s="8"/>
      <c r="F794" s="8"/>
    </row>
    <row r="795" spans="1:6" s="9" customFormat="1" ht="15" customHeight="1" x14ac:dyDescent="0.2">
      <c r="A795" s="8"/>
      <c r="B795" s="8"/>
      <c r="C795" s="8"/>
      <c r="F795" s="8"/>
    </row>
    <row r="796" spans="1:6" s="9" customFormat="1" ht="15" customHeight="1" x14ac:dyDescent="0.2">
      <c r="A796" s="8"/>
      <c r="B796" s="8"/>
      <c r="C796" s="8"/>
      <c r="F796" s="8"/>
    </row>
    <row r="797" spans="1:6" s="9" customFormat="1" ht="15" customHeight="1" x14ac:dyDescent="0.2">
      <c r="A797" s="8"/>
      <c r="B797" s="8"/>
      <c r="C797" s="8"/>
      <c r="F797" s="8"/>
    </row>
    <row r="798" spans="1:6" s="9" customFormat="1" ht="15" customHeight="1" x14ac:dyDescent="0.2">
      <c r="A798" s="8"/>
      <c r="B798" s="8"/>
      <c r="C798" s="8"/>
      <c r="F798" s="8"/>
    </row>
    <row r="799" spans="1:6" s="9" customFormat="1" ht="15" customHeight="1" x14ac:dyDescent="0.2">
      <c r="A799" s="8"/>
      <c r="B799" s="8"/>
      <c r="C799" s="8"/>
      <c r="F799" s="8"/>
    </row>
    <row r="800" spans="1:6" s="9" customFormat="1" ht="15" customHeight="1" x14ac:dyDescent="0.2">
      <c r="A800" s="8"/>
      <c r="B800" s="8"/>
      <c r="C800" s="8"/>
      <c r="F800" s="8"/>
    </row>
    <row r="801" spans="1:6" s="9" customFormat="1" ht="15" customHeight="1" x14ac:dyDescent="0.2">
      <c r="A801" s="8"/>
      <c r="B801" s="8"/>
      <c r="C801" s="8"/>
      <c r="F801" s="8"/>
    </row>
    <row r="802" spans="1:6" s="9" customFormat="1" ht="15" customHeight="1" x14ac:dyDescent="0.2">
      <c r="A802" s="8"/>
      <c r="B802" s="8"/>
      <c r="C802" s="8"/>
      <c r="F802" s="8"/>
    </row>
    <row r="803" spans="1:6" s="9" customFormat="1" ht="15" customHeight="1" x14ac:dyDescent="0.2">
      <c r="A803" s="8"/>
      <c r="B803" s="8"/>
      <c r="C803" s="8"/>
      <c r="F803" s="8"/>
    </row>
    <row r="804" spans="1:6" s="9" customFormat="1" ht="15" customHeight="1" x14ac:dyDescent="0.2">
      <c r="A804" s="8"/>
      <c r="B804" s="8"/>
      <c r="C804" s="8"/>
      <c r="F804" s="8"/>
    </row>
    <row r="805" spans="1:6" s="9" customFormat="1" ht="15" customHeight="1" x14ac:dyDescent="0.2">
      <c r="A805" s="8"/>
      <c r="B805" s="8"/>
      <c r="C805" s="8"/>
      <c r="F805" s="8"/>
    </row>
    <row r="806" spans="1:6" s="9" customFormat="1" ht="15" customHeight="1" x14ac:dyDescent="0.2">
      <c r="A806" s="8"/>
      <c r="B806" s="8"/>
      <c r="C806" s="8"/>
      <c r="F806" s="8"/>
    </row>
    <row r="807" spans="1:6" s="9" customFormat="1" ht="15" customHeight="1" x14ac:dyDescent="0.2">
      <c r="A807" s="8"/>
      <c r="B807" s="8"/>
      <c r="C807" s="8"/>
      <c r="F807" s="8"/>
    </row>
    <row r="808" spans="1:6" s="9" customFormat="1" ht="15" customHeight="1" x14ac:dyDescent="0.2">
      <c r="A808" s="8"/>
      <c r="B808" s="8"/>
      <c r="C808" s="8"/>
      <c r="F808" s="8"/>
    </row>
    <row r="809" spans="1:6" s="9" customFormat="1" ht="15" customHeight="1" x14ac:dyDescent="0.2">
      <c r="A809" s="8"/>
      <c r="B809" s="8"/>
      <c r="C809" s="8"/>
      <c r="F809" s="8"/>
    </row>
    <row r="810" spans="1:6" s="9" customFormat="1" ht="15" customHeight="1" x14ac:dyDescent="0.2">
      <c r="A810" s="8"/>
      <c r="B810" s="8"/>
      <c r="C810" s="8"/>
      <c r="F810" s="8"/>
    </row>
    <row r="811" spans="1:6" s="9" customFormat="1" ht="15" customHeight="1" x14ac:dyDescent="0.2">
      <c r="A811" s="8"/>
      <c r="B811" s="8"/>
      <c r="C811" s="8"/>
      <c r="F811" s="8"/>
    </row>
    <row r="812" spans="1:6" s="9" customFormat="1" ht="15" customHeight="1" x14ac:dyDescent="0.2">
      <c r="A812" s="8"/>
      <c r="B812" s="8"/>
      <c r="C812" s="8"/>
      <c r="F812" s="8"/>
    </row>
    <row r="813" spans="1:6" s="9" customFormat="1" ht="15" customHeight="1" x14ac:dyDescent="0.2">
      <c r="A813" s="8"/>
      <c r="B813" s="8"/>
      <c r="C813" s="8"/>
      <c r="F813" s="8"/>
    </row>
    <row r="814" spans="1:6" s="9" customFormat="1" ht="15" customHeight="1" x14ac:dyDescent="0.2">
      <c r="A814" s="8"/>
      <c r="B814" s="8"/>
      <c r="C814" s="8"/>
      <c r="F814" s="8"/>
    </row>
    <row r="815" spans="1:6" s="9" customFormat="1" ht="15" customHeight="1" x14ac:dyDescent="0.2">
      <c r="A815" s="8"/>
      <c r="B815" s="8"/>
      <c r="C815" s="8"/>
      <c r="F815" s="8"/>
    </row>
    <row r="816" spans="1:6" s="9" customFormat="1" ht="15" customHeight="1" x14ac:dyDescent="0.2">
      <c r="A816" s="8"/>
      <c r="B816" s="8"/>
      <c r="C816" s="8"/>
      <c r="F816" s="8"/>
    </row>
    <row r="817" spans="1:6" s="9" customFormat="1" ht="15" customHeight="1" x14ac:dyDescent="0.2">
      <c r="A817" s="8"/>
      <c r="B817" s="8"/>
      <c r="C817" s="8"/>
      <c r="F817" s="8"/>
    </row>
    <row r="818" spans="1:6" s="9" customFormat="1" ht="15" customHeight="1" x14ac:dyDescent="0.2">
      <c r="A818" s="8"/>
      <c r="B818" s="8"/>
      <c r="C818" s="8"/>
      <c r="F818" s="8"/>
    </row>
    <row r="819" spans="1:6" s="9" customFormat="1" ht="15" customHeight="1" x14ac:dyDescent="0.2">
      <c r="A819" s="8"/>
      <c r="B819" s="8"/>
      <c r="C819" s="8"/>
      <c r="F819" s="8"/>
    </row>
    <row r="820" spans="1:6" s="9" customFormat="1" ht="15" customHeight="1" x14ac:dyDescent="0.2">
      <c r="A820" s="8"/>
      <c r="B820" s="8"/>
      <c r="C820" s="8"/>
      <c r="F820" s="8"/>
    </row>
    <row r="821" spans="1:6" s="9" customFormat="1" ht="15" customHeight="1" x14ac:dyDescent="0.2">
      <c r="A821" s="8"/>
      <c r="B821" s="8"/>
      <c r="C821" s="8"/>
      <c r="F821" s="8"/>
    </row>
    <row r="822" spans="1:6" s="9" customFormat="1" ht="15" customHeight="1" x14ac:dyDescent="0.2">
      <c r="A822" s="8"/>
      <c r="B822" s="8"/>
      <c r="C822" s="8"/>
      <c r="F822" s="8"/>
    </row>
    <row r="823" spans="1:6" s="9" customFormat="1" ht="15" customHeight="1" x14ac:dyDescent="0.2">
      <c r="A823" s="8"/>
      <c r="B823" s="8"/>
      <c r="C823" s="8"/>
      <c r="F823" s="8"/>
    </row>
    <row r="824" spans="1:6" s="9" customFormat="1" ht="15" customHeight="1" x14ac:dyDescent="0.2">
      <c r="A824" s="8"/>
      <c r="B824" s="8"/>
      <c r="C824" s="8"/>
      <c r="F824" s="8"/>
    </row>
    <row r="825" spans="1:6" s="9" customFormat="1" ht="15" customHeight="1" x14ac:dyDescent="0.2">
      <c r="A825" s="8"/>
      <c r="B825" s="8"/>
      <c r="C825" s="8"/>
      <c r="F825" s="8"/>
    </row>
    <row r="826" spans="1:6" s="9" customFormat="1" ht="15" customHeight="1" x14ac:dyDescent="0.2">
      <c r="A826" s="8"/>
      <c r="B826" s="8"/>
      <c r="C826" s="8"/>
      <c r="F826" s="8"/>
    </row>
    <row r="827" spans="1:6" s="9" customFormat="1" ht="15" customHeight="1" x14ac:dyDescent="0.2">
      <c r="A827" s="8"/>
      <c r="B827" s="8"/>
      <c r="C827" s="8"/>
      <c r="F827" s="8"/>
    </row>
    <row r="828" spans="1:6" s="9" customFormat="1" ht="15" customHeight="1" x14ac:dyDescent="0.2">
      <c r="A828" s="8"/>
      <c r="B828" s="8"/>
      <c r="C828" s="8"/>
      <c r="F828" s="8"/>
    </row>
    <row r="829" spans="1:6" s="9" customFormat="1" ht="15" customHeight="1" x14ac:dyDescent="0.2">
      <c r="A829" s="8"/>
      <c r="B829" s="8"/>
      <c r="C829" s="8"/>
      <c r="F829" s="8"/>
    </row>
    <row r="830" spans="1:6" s="9" customFormat="1" ht="15" customHeight="1" x14ac:dyDescent="0.2">
      <c r="A830" s="8"/>
      <c r="B830" s="8"/>
      <c r="C830" s="8"/>
      <c r="F830" s="8"/>
    </row>
    <row r="831" spans="1:6" s="9" customFormat="1" ht="15" customHeight="1" x14ac:dyDescent="0.2">
      <c r="A831" s="8"/>
      <c r="B831" s="8"/>
      <c r="C831" s="8"/>
      <c r="F831" s="8"/>
    </row>
    <row r="832" spans="1:6" s="9" customFormat="1" ht="15" customHeight="1" x14ac:dyDescent="0.2">
      <c r="A832" s="8"/>
      <c r="B832" s="8"/>
      <c r="C832" s="8"/>
      <c r="F832" s="8"/>
    </row>
    <row r="833" spans="1:6" s="9" customFormat="1" ht="15" customHeight="1" x14ac:dyDescent="0.2">
      <c r="A833" s="8"/>
      <c r="B833" s="8"/>
      <c r="C833" s="8"/>
      <c r="F833" s="8"/>
    </row>
    <row r="834" spans="1:6" s="9" customFormat="1" ht="15" customHeight="1" x14ac:dyDescent="0.2">
      <c r="A834" s="8"/>
      <c r="B834" s="8"/>
      <c r="C834" s="8"/>
      <c r="F834" s="8"/>
    </row>
    <row r="835" spans="1:6" s="9" customFormat="1" ht="15" customHeight="1" x14ac:dyDescent="0.2">
      <c r="A835" s="8"/>
      <c r="B835" s="8"/>
      <c r="C835" s="8"/>
      <c r="F835" s="8"/>
    </row>
    <row r="836" spans="1:6" s="9" customFormat="1" ht="15" customHeight="1" x14ac:dyDescent="0.2">
      <c r="A836" s="8"/>
      <c r="B836" s="8"/>
      <c r="C836" s="8"/>
      <c r="F836" s="8"/>
    </row>
    <row r="837" spans="1:6" s="9" customFormat="1" ht="15" customHeight="1" x14ac:dyDescent="0.2">
      <c r="A837" s="8"/>
      <c r="B837" s="8"/>
      <c r="C837" s="8"/>
      <c r="F837" s="8"/>
    </row>
    <row r="838" spans="1:6" s="9" customFormat="1" ht="15" customHeight="1" x14ac:dyDescent="0.2">
      <c r="A838" s="8"/>
      <c r="B838" s="8"/>
      <c r="C838" s="8"/>
      <c r="F838" s="8"/>
    </row>
    <row r="839" spans="1:6" s="9" customFormat="1" ht="15" customHeight="1" x14ac:dyDescent="0.2">
      <c r="A839" s="8"/>
      <c r="B839" s="8"/>
      <c r="C839" s="8"/>
      <c r="F839" s="8"/>
    </row>
    <row r="840" spans="1:6" s="9" customFormat="1" ht="15" customHeight="1" x14ac:dyDescent="0.2">
      <c r="A840" s="8"/>
      <c r="B840" s="8"/>
      <c r="C840" s="8"/>
      <c r="F840" s="8"/>
    </row>
    <row r="841" spans="1:6" s="9" customFormat="1" ht="15" customHeight="1" x14ac:dyDescent="0.2">
      <c r="A841" s="8"/>
      <c r="B841" s="8"/>
      <c r="C841" s="8"/>
      <c r="F841" s="8"/>
    </row>
    <row r="842" spans="1:6" s="9" customFormat="1" ht="15" customHeight="1" x14ac:dyDescent="0.2">
      <c r="A842" s="8"/>
      <c r="B842" s="8"/>
      <c r="C842" s="8"/>
      <c r="F842" s="8"/>
    </row>
    <row r="843" spans="1:6" s="9" customFormat="1" ht="15" customHeight="1" x14ac:dyDescent="0.2">
      <c r="A843" s="8"/>
      <c r="B843" s="8"/>
      <c r="C843" s="8"/>
      <c r="F843" s="8"/>
    </row>
    <row r="844" spans="1:6" s="9" customFormat="1" ht="15" customHeight="1" x14ac:dyDescent="0.2">
      <c r="A844" s="8"/>
      <c r="B844" s="8"/>
      <c r="C844" s="8"/>
      <c r="F844" s="8"/>
    </row>
    <row r="845" spans="1:6" s="9" customFormat="1" ht="15" customHeight="1" x14ac:dyDescent="0.2">
      <c r="A845" s="8"/>
      <c r="B845" s="8"/>
      <c r="C845" s="8"/>
      <c r="F845" s="8"/>
    </row>
    <row r="846" spans="1:6" s="9" customFormat="1" ht="15" customHeight="1" x14ac:dyDescent="0.2">
      <c r="A846" s="8"/>
      <c r="B846" s="8"/>
      <c r="C846" s="8"/>
      <c r="F846" s="8"/>
    </row>
    <row r="847" spans="1:6" s="9" customFormat="1" ht="15" customHeight="1" x14ac:dyDescent="0.2">
      <c r="A847" s="8"/>
      <c r="B847" s="8"/>
      <c r="C847" s="8"/>
      <c r="F847" s="8"/>
    </row>
    <row r="848" spans="1:6" s="9" customFormat="1" ht="15" customHeight="1" x14ac:dyDescent="0.2">
      <c r="A848" s="8"/>
      <c r="B848" s="8"/>
      <c r="C848" s="8"/>
      <c r="F848" s="8"/>
    </row>
    <row r="849" spans="1:6" s="9" customFormat="1" ht="15" customHeight="1" x14ac:dyDescent="0.2">
      <c r="A849" s="8"/>
      <c r="B849" s="8"/>
      <c r="C849" s="8"/>
      <c r="F849" s="8"/>
    </row>
    <row r="850" spans="1:6" s="9" customFormat="1" ht="15" customHeight="1" x14ac:dyDescent="0.2">
      <c r="A850" s="8"/>
      <c r="B850" s="8"/>
      <c r="C850" s="8"/>
      <c r="F850" s="8"/>
    </row>
    <row r="851" spans="1:6" s="9" customFormat="1" ht="15" customHeight="1" x14ac:dyDescent="0.2">
      <c r="A851" s="8"/>
      <c r="B851" s="8"/>
      <c r="C851" s="8"/>
      <c r="F851" s="8"/>
    </row>
    <row r="852" spans="1:6" s="9" customFormat="1" ht="15" customHeight="1" x14ac:dyDescent="0.2">
      <c r="A852" s="8"/>
      <c r="B852" s="8"/>
      <c r="C852" s="8"/>
      <c r="F852" s="8"/>
    </row>
    <row r="853" spans="1:6" s="9" customFormat="1" ht="15" customHeight="1" x14ac:dyDescent="0.2">
      <c r="A853" s="8"/>
      <c r="B853" s="8"/>
      <c r="C853" s="8"/>
      <c r="F853" s="8"/>
    </row>
    <row r="854" spans="1:6" s="9" customFormat="1" ht="15" customHeight="1" x14ac:dyDescent="0.2">
      <c r="A854" s="8"/>
      <c r="B854" s="8"/>
      <c r="C854" s="8"/>
      <c r="F854" s="8"/>
    </row>
    <row r="855" spans="1:6" s="9" customFormat="1" ht="15" customHeight="1" x14ac:dyDescent="0.2">
      <c r="A855" s="8"/>
      <c r="B855" s="8"/>
      <c r="C855" s="8"/>
      <c r="F855" s="8"/>
    </row>
    <row r="856" spans="1:6" s="9" customFormat="1" ht="15" customHeight="1" x14ac:dyDescent="0.2">
      <c r="A856" s="8"/>
      <c r="B856" s="8"/>
      <c r="C856" s="8"/>
      <c r="F856" s="8"/>
    </row>
    <row r="857" spans="1:6" s="9" customFormat="1" ht="15" customHeight="1" x14ac:dyDescent="0.2">
      <c r="A857" s="8"/>
      <c r="B857" s="8"/>
      <c r="C857" s="8"/>
      <c r="F857" s="8"/>
    </row>
    <row r="858" spans="1:6" s="9" customFormat="1" ht="15" customHeight="1" x14ac:dyDescent="0.2">
      <c r="A858" s="8"/>
      <c r="B858" s="8"/>
      <c r="C858" s="8"/>
      <c r="F858" s="8"/>
    </row>
    <row r="859" spans="1:6" s="9" customFormat="1" ht="15" customHeight="1" x14ac:dyDescent="0.2">
      <c r="A859" s="8"/>
      <c r="B859" s="8"/>
      <c r="C859" s="8"/>
      <c r="F859" s="8"/>
    </row>
    <row r="860" spans="1:6" s="9" customFormat="1" ht="15" customHeight="1" x14ac:dyDescent="0.2">
      <c r="A860" s="8"/>
      <c r="B860" s="8"/>
      <c r="C860" s="8"/>
      <c r="F860" s="8"/>
    </row>
    <row r="861" spans="1:6" s="9" customFormat="1" ht="15" customHeight="1" x14ac:dyDescent="0.2">
      <c r="A861" s="8"/>
      <c r="B861" s="8"/>
      <c r="C861" s="8"/>
      <c r="F861" s="8"/>
    </row>
    <row r="862" spans="1:6" s="9" customFormat="1" ht="15" customHeight="1" x14ac:dyDescent="0.2">
      <c r="A862" s="8"/>
      <c r="B862" s="8"/>
      <c r="C862" s="8"/>
      <c r="F862" s="8"/>
    </row>
    <row r="863" spans="1:6" s="9" customFormat="1" ht="15" customHeight="1" x14ac:dyDescent="0.2">
      <c r="A863" s="8"/>
      <c r="B863" s="8"/>
      <c r="C863" s="8"/>
      <c r="F863" s="8"/>
    </row>
    <row r="864" spans="1:6" s="9" customFormat="1" ht="15" customHeight="1" x14ac:dyDescent="0.2">
      <c r="A864" s="8"/>
      <c r="B864" s="8"/>
      <c r="C864" s="8"/>
      <c r="F864" s="8"/>
    </row>
    <row r="865" spans="1:6" s="9" customFormat="1" ht="15" customHeight="1" x14ac:dyDescent="0.2">
      <c r="A865" s="8"/>
      <c r="B865" s="8"/>
      <c r="C865" s="8"/>
      <c r="F865" s="8"/>
    </row>
    <row r="866" spans="1:6" s="9" customFormat="1" ht="15" customHeight="1" x14ac:dyDescent="0.2">
      <c r="A866" s="8"/>
      <c r="B866" s="8"/>
      <c r="C866" s="8"/>
      <c r="F866" s="8"/>
    </row>
    <row r="867" spans="1:6" s="9" customFormat="1" ht="15" customHeight="1" x14ac:dyDescent="0.2">
      <c r="A867" s="8"/>
      <c r="B867" s="8"/>
      <c r="C867" s="8"/>
      <c r="F867" s="8"/>
    </row>
    <row r="868" spans="1:6" s="9" customFormat="1" ht="15" customHeight="1" x14ac:dyDescent="0.2">
      <c r="A868" s="8"/>
      <c r="B868" s="8"/>
      <c r="C868" s="8"/>
      <c r="F868" s="8"/>
    </row>
    <row r="869" spans="1:6" s="9" customFormat="1" ht="15" customHeight="1" x14ac:dyDescent="0.2">
      <c r="A869" s="8"/>
      <c r="B869" s="8"/>
      <c r="C869" s="8"/>
      <c r="F869" s="8"/>
    </row>
    <row r="870" spans="1:6" s="9" customFormat="1" ht="15" customHeight="1" x14ac:dyDescent="0.2">
      <c r="A870" s="8"/>
      <c r="B870" s="8"/>
      <c r="C870" s="8"/>
      <c r="F870" s="8"/>
    </row>
    <row r="871" spans="1:6" s="9" customFormat="1" ht="15" customHeight="1" x14ac:dyDescent="0.2">
      <c r="A871" s="8"/>
      <c r="B871" s="8"/>
      <c r="C871" s="8"/>
      <c r="F871" s="8"/>
    </row>
    <row r="872" spans="1:6" s="9" customFormat="1" ht="15" customHeight="1" x14ac:dyDescent="0.2">
      <c r="A872" s="8"/>
      <c r="B872" s="8"/>
      <c r="C872" s="8"/>
      <c r="F872" s="8"/>
    </row>
    <row r="873" spans="1:6" s="9" customFormat="1" ht="15" customHeight="1" x14ac:dyDescent="0.2">
      <c r="A873" s="8"/>
      <c r="B873" s="8"/>
      <c r="C873" s="8"/>
      <c r="F873" s="8"/>
    </row>
    <row r="874" spans="1:6" s="9" customFormat="1" ht="15" customHeight="1" x14ac:dyDescent="0.2">
      <c r="A874" s="8"/>
      <c r="B874" s="8"/>
      <c r="C874" s="8"/>
      <c r="F874" s="8"/>
    </row>
    <row r="875" spans="1:6" s="9" customFormat="1" ht="15" customHeight="1" x14ac:dyDescent="0.2">
      <c r="A875" s="8"/>
      <c r="B875" s="8"/>
      <c r="C875" s="8"/>
      <c r="F875" s="8"/>
    </row>
    <row r="876" spans="1:6" s="9" customFormat="1" ht="15" customHeight="1" x14ac:dyDescent="0.2">
      <c r="A876" s="8"/>
      <c r="B876" s="8"/>
      <c r="C876" s="8"/>
      <c r="F876" s="8"/>
    </row>
    <row r="877" spans="1:6" s="9" customFormat="1" ht="15" customHeight="1" x14ac:dyDescent="0.2">
      <c r="A877" s="8"/>
      <c r="B877" s="8"/>
      <c r="C877" s="8"/>
      <c r="F877" s="8"/>
    </row>
    <row r="878" spans="1:6" s="9" customFormat="1" ht="15" customHeight="1" x14ac:dyDescent="0.2">
      <c r="A878" s="8"/>
      <c r="B878" s="8"/>
      <c r="C878" s="8"/>
      <c r="F878" s="8"/>
    </row>
    <row r="879" spans="1:6" s="9" customFormat="1" ht="15" customHeight="1" x14ac:dyDescent="0.2">
      <c r="A879" s="8"/>
      <c r="B879" s="8"/>
      <c r="C879" s="8"/>
      <c r="F879" s="8"/>
    </row>
    <row r="880" spans="1:6" s="9" customFormat="1" ht="15" customHeight="1" x14ac:dyDescent="0.2">
      <c r="A880" s="8"/>
      <c r="B880" s="8"/>
      <c r="C880" s="8"/>
      <c r="F880" s="8"/>
    </row>
    <row r="881" spans="1:6" s="9" customFormat="1" ht="15" customHeight="1" x14ac:dyDescent="0.2">
      <c r="A881" s="8"/>
      <c r="B881" s="8"/>
      <c r="C881" s="8"/>
      <c r="F881" s="8"/>
    </row>
    <row r="882" spans="1:6" s="9" customFormat="1" ht="15" customHeight="1" x14ac:dyDescent="0.2">
      <c r="A882" s="8"/>
      <c r="B882" s="8"/>
      <c r="C882" s="8"/>
      <c r="F882" s="8"/>
    </row>
    <row r="883" spans="1:6" s="9" customFormat="1" ht="15" customHeight="1" x14ac:dyDescent="0.2">
      <c r="A883" s="8"/>
      <c r="B883" s="8"/>
      <c r="C883" s="8"/>
      <c r="F883" s="8"/>
    </row>
    <row r="884" spans="1:6" s="9" customFormat="1" ht="15" customHeight="1" x14ac:dyDescent="0.2">
      <c r="A884" s="8"/>
      <c r="B884" s="8"/>
      <c r="C884" s="8"/>
      <c r="F884" s="8"/>
    </row>
    <row r="885" spans="1:6" s="9" customFormat="1" ht="15" customHeight="1" x14ac:dyDescent="0.2">
      <c r="A885" s="8"/>
      <c r="B885" s="8"/>
      <c r="C885" s="8"/>
      <c r="F885" s="8"/>
    </row>
    <row r="886" spans="1:6" s="9" customFormat="1" ht="15" customHeight="1" x14ac:dyDescent="0.2">
      <c r="A886" s="8"/>
      <c r="B886" s="8"/>
      <c r="C886" s="8"/>
      <c r="F886" s="8"/>
    </row>
    <row r="887" spans="1:6" s="9" customFormat="1" ht="15" customHeight="1" x14ac:dyDescent="0.2">
      <c r="A887" s="8"/>
      <c r="B887" s="8"/>
      <c r="C887" s="8"/>
      <c r="F887" s="8"/>
    </row>
    <row r="888" spans="1:6" s="9" customFormat="1" ht="15" customHeight="1" x14ac:dyDescent="0.2">
      <c r="A888" s="8"/>
      <c r="B888" s="8"/>
      <c r="C888" s="8"/>
      <c r="F888" s="8"/>
    </row>
    <row r="889" spans="1:6" s="9" customFormat="1" ht="15" customHeight="1" x14ac:dyDescent="0.2">
      <c r="A889" s="8"/>
      <c r="B889" s="8"/>
      <c r="C889" s="8"/>
      <c r="F889" s="8"/>
    </row>
    <row r="890" spans="1:6" s="9" customFormat="1" ht="15" customHeight="1" x14ac:dyDescent="0.2">
      <c r="A890" s="8"/>
      <c r="B890" s="8"/>
      <c r="C890" s="8"/>
      <c r="F890" s="8"/>
    </row>
    <row r="891" spans="1:6" s="9" customFormat="1" ht="15" customHeight="1" x14ac:dyDescent="0.2">
      <c r="A891" s="8"/>
      <c r="B891" s="8"/>
      <c r="C891" s="8"/>
      <c r="F891" s="8"/>
    </row>
    <row r="892" spans="1:6" s="9" customFormat="1" ht="15" customHeight="1" x14ac:dyDescent="0.2">
      <c r="A892" s="8"/>
      <c r="B892" s="8"/>
      <c r="C892" s="8"/>
      <c r="F892" s="8"/>
    </row>
    <row r="893" spans="1:6" s="9" customFormat="1" ht="15" customHeight="1" x14ac:dyDescent="0.2">
      <c r="A893" s="8"/>
      <c r="B893" s="8"/>
      <c r="C893" s="8"/>
      <c r="F893" s="8"/>
    </row>
    <row r="894" spans="1:6" s="9" customFormat="1" ht="15" customHeight="1" x14ac:dyDescent="0.2">
      <c r="A894" s="8"/>
      <c r="B894" s="8"/>
      <c r="C894" s="8"/>
      <c r="F894" s="8"/>
    </row>
    <row r="895" spans="1:6" s="9" customFormat="1" ht="15" customHeight="1" x14ac:dyDescent="0.2">
      <c r="A895" s="8"/>
      <c r="B895" s="8"/>
      <c r="C895" s="8"/>
      <c r="F895" s="8"/>
    </row>
    <row r="896" spans="1:6" s="9" customFormat="1" ht="15" customHeight="1" x14ac:dyDescent="0.2">
      <c r="A896" s="8"/>
      <c r="B896" s="8"/>
      <c r="C896" s="8"/>
      <c r="F896" s="8"/>
    </row>
    <row r="897" spans="1:6" s="9" customFormat="1" ht="15" customHeight="1" x14ac:dyDescent="0.2">
      <c r="A897" s="8"/>
      <c r="B897" s="8"/>
      <c r="C897" s="8"/>
      <c r="F897" s="8"/>
    </row>
    <row r="898" spans="1:6" s="9" customFormat="1" ht="15" customHeight="1" x14ac:dyDescent="0.2">
      <c r="A898" s="8"/>
      <c r="B898" s="8"/>
      <c r="C898" s="8"/>
      <c r="F898" s="8"/>
    </row>
    <row r="899" spans="1:6" s="9" customFormat="1" ht="15" customHeight="1" x14ac:dyDescent="0.2">
      <c r="A899" s="8"/>
      <c r="B899" s="8"/>
      <c r="C899" s="8"/>
      <c r="F899" s="8"/>
    </row>
    <row r="900" spans="1:6" s="9" customFormat="1" ht="15" customHeight="1" x14ac:dyDescent="0.2">
      <c r="A900" s="8"/>
      <c r="B900" s="8"/>
      <c r="C900" s="8"/>
      <c r="F900" s="8"/>
    </row>
    <row r="901" spans="1:6" s="9" customFormat="1" ht="15" customHeight="1" x14ac:dyDescent="0.2">
      <c r="A901" s="8"/>
      <c r="B901" s="8"/>
      <c r="C901" s="8"/>
      <c r="F901" s="8"/>
    </row>
    <row r="902" spans="1:6" s="9" customFormat="1" ht="15" customHeight="1" x14ac:dyDescent="0.2">
      <c r="A902" s="8"/>
      <c r="B902" s="8"/>
      <c r="C902" s="8"/>
      <c r="F902" s="8"/>
    </row>
    <row r="903" spans="1:6" s="9" customFormat="1" ht="15" customHeight="1" x14ac:dyDescent="0.2">
      <c r="A903" s="8"/>
      <c r="B903" s="8"/>
      <c r="C903" s="8"/>
      <c r="F903" s="8"/>
    </row>
    <row r="904" spans="1:6" s="9" customFormat="1" ht="15" customHeight="1" x14ac:dyDescent="0.2">
      <c r="A904" s="8"/>
      <c r="B904" s="8"/>
      <c r="C904" s="8"/>
      <c r="F904" s="8"/>
    </row>
    <row r="905" spans="1:6" s="9" customFormat="1" ht="15" customHeight="1" x14ac:dyDescent="0.2">
      <c r="A905" s="8"/>
      <c r="B905" s="8"/>
      <c r="C905" s="8"/>
      <c r="F905" s="8"/>
    </row>
    <row r="906" spans="1:6" s="9" customFormat="1" ht="15" customHeight="1" x14ac:dyDescent="0.2">
      <c r="A906" s="8"/>
      <c r="B906" s="8"/>
      <c r="C906" s="8"/>
      <c r="F906" s="8"/>
    </row>
    <row r="907" spans="1:6" s="9" customFormat="1" ht="15" customHeight="1" x14ac:dyDescent="0.2">
      <c r="A907" s="8"/>
      <c r="B907" s="8"/>
      <c r="C907" s="8"/>
      <c r="F907" s="8"/>
    </row>
    <row r="908" spans="1:6" s="9" customFormat="1" ht="15" customHeight="1" x14ac:dyDescent="0.2">
      <c r="A908" s="8"/>
      <c r="B908" s="8"/>
      <c r="C908" s="8"/>
      <c r="F908" s="8"/>
    </row>
    <row r="909" spans="1:6" s="9" customFormat="1" ht="15" customHeight="1" x14ac:dyDescent="0.2">
      <c r="A909" s="8"/>
      <c r="B909" s="8"/>
      <c r="C909" s="8"/>
      <c r="F909" s="8"/>
    </row>
    <row r="910" spans="1:6" s="9" customFormat="1" ht="15" customHeight="1" x14ac:dyDescent="0.2">
      <c r="A910" s="8"/>
      <c r="B910" s="8"/>
      <c r="C910" s="8"/>
      <c r="F910" s="8"/>
    </row>
    <row r="911" spans="1:6" s="9" customFormat="1" ht="15" customHeight="1" x14ac:dyDescent="0.2">
      <c r="A911" s="8"/>
      <c r="B911" s="8"/>
      <c r="C911" s="8"/>
      <c r="F911" s="8"/>
    </row>
    <row r="912" spans="1:6" s="9" customFormat="1" ht="15" customHeight="1" x14ac:dyDescent="0.2">
      <c r="A912" s="8"/>
      <c r="B912" s="8"/>
      <c r="C912" s="8"/>
      <c r="F912" s="8"/>
    </row>
    <row r="913" spans="1:6" s="9" customFormat="1" ht="15" customHeight="1" x14ac:dyDescent="0.2">
      <c r="A913" s="8"/>
      <c r="B913" s="8"/>
      <c r="C913" s="8"/>
      <c r="F913" s="8"/>
    </row>
    <row r="914" spans="1:6" s="9" customFormat="1" ht="15" customHeight="1" x14ac:dyDescent="0.2">
      <c r="A914" s="8"/>
      <c r="B914" s="8"/>
      <c r="C914" s="8"/>
      <c r="F914" s="8"/>
    </row>
    <row r="915" spans="1:6" s="9" customFormat="1" ht="15" customHeight="1" x14ac:dyDescent="0.2">
      <c r="A915" s="8"/>
      <c r="B915" s="8"/>
      <c r="C915" s="8"/>
      <c r="F915" s="8"/>
    </row>
    <row r="916" spans="1:6" s="9" customFormat="1" ht="15" customHeight="1" x14ac:dyDescent="0.2">
      <c r="A916" s="8"/>
      <c r="B916" s="8"/>
      <c r="C916" s="8"/>
      <c r="F916" s="8"/>
    </row>
    <row r="917" spans="1:6" s="9" customFormat="1" ht="15" customHeight="1" x14ac:dyDescent="0.2">
      <c r="A917" s="8"/>
      <c r="B917" s="8"/>
      <c r="C917" s="8"/>
      <c r="F917" s="8"/>
    </row>
    <row r="918" spans="1:6" s="9" customFormat="1" ht="15" customHeight="1" x14ac:dyDescent="0.2">
      <c r="A918" s="8"/>
      <c r="B918" s="8"/>
      <c r="C918" s="8"/>
      <c r="F918" s="8"/>
    </row>
    <row r="919" spans="1:6" s="9" customFormat="1" ht="15" customHeight="1" x14ac:dyDescent="0.2">
      <c r="A919" s="8"/>
      <c r="B919" s="8"/>
      <c r="C919" s="8"/>
      <c r="F919" s="8"/>
    </row>
    <row r="920" spans="1:6" s="9" customFormat="1" ht="15" customHeight="1" x14ac:dyDescent="0.2">
      <c r="A920" s="8"/>
      <c r="B920" s="8"/>
      <c r="C920" s="8"/>
      <c r="F920" s="8"/>
    </row>
    <row r="921" spans="1:6" s="9" customFormat="1" ht="15" customHeight="1" x14ac:dyDescent="0.2">
      <c r="A921" s="8"/>
      <c r="B921" s="8"/>
      <c r="C921" s="8"/>
      <c r="F921" s="8"/>
    </row>
    <row r="922" spans="1:6" s="9" customFormat="1" ht="15" customHeight="1" x14ac:dyDescent="0.2">
      <c r="A922" s="8"/>
      <c r="B922" s="8"/>
      <c r="C922" s="8"/>
      <c r="F922" s="8"/>
    </row>
    <row r="923" spans="1:6" s="9" customFormat="1" ht="15" customHeight="1" x14ac:dyDescent="0.2">
      <c r="A923" s="8"/>
      <c r="B923" s="8"/>
      <c r="C923" s="8"/>
      <c r="F923" s="8"/>
    </row>
    <row r="924" spans="1:6" s="9" customFormat="1" ht="15" customHeight="1" x14ac:dyDescent="0.2">
      <c r="A924" s="8"/>
      <c r="B924" s="8"/>
      <c r="C924" s="8"/>
      <c r="F924" s="8"/>
    </row>
    <row r="925" spans="1:6" s="9" customFormat="1" ht="15" customHeight="1" x14ac:dyDescent="0.2">
      <c r="A925" s="8"/>
      <c r="B925" s="8"/>
      <c r="C925" s="8"/>
      <c r="F925" s="8"/>
    </row>
    <row r="926" spans="1:6" s="9" customFormat="1" ht="15" customHeight="1" x14ac:dyDescent="0.2">
      <c r="A926" s="8"/>
      <c r="B926" s="8"/>
      <c r="C926" s="8"/>
      <c r="F926" s="8"/>
    </row>
    <row r="927" spans="1:6" s="9" customFormat="1" ht="15" customHeight="1" x14ac:dyDescent="0.2">
      <c r="A927" s="8"/>
      <c r="B927" s="8"/>
      <c r="C927" s="8"/>
      <c r="F927" s="8"/>
    </row>
    <row r="928" spans="1:6" s="9" customFormat="1" ht="15" customHeight="1" x14ac:dyDescent="0.2">
      <c r="A928" s="8"/>
      <c r="B928" s="8"/>
      <c r="C928" s="8"/>
      <c r="F928" s="8"/>
    </row>
    <row r="929" spans="1:6" s="9" customFormat="1" ht="15" customHeight="1" x14ac:dyDescent="0.2">
      <c r="A929" s="8"/>
      <c r="B929" s="8"/>
      <c r="C929" s="8"/>
      <c r="F929" s="8"/>
    </row>
    <row r="930" spans="1:6" s="9" customFormat="1" ht="15" customHeight="1" x14ac:dyDescent="0.2">
      <c r="A930" s="8"/>
      <c r="B930" s="8"/>
      <c r="C930" s="8"/>
      <c r="F930" s="8"/>
    </row>
    <row r="931" spans="1:6" s="9" customFormat="1" ht="15" customHeight="1" x14ac:dyDescent="0.2">
      <c r="A931" s="8"/>
      <c r="B931" s="8"/>
      <c r="C931" s="8"/>
      <c r="F931" s="8"/>
    </row>
    <row r="932" spans="1:6" s="9" customFormat="1" ht="15" customHeight="1" x14ac:dyDescent="0.2">
      <c r="A932" s="8"/>
      <c r="B932" s="8"/>
      <c r="C932" s="8"/>
      <c r="F932" s="8"/>
    </row>
    <row r="933" spans="1:6" s="9" customFormat="1" ht="15" customHeight="1" x14ac:dyDescent="0.2">
      <c r="A933" s="8"/>
      <c r="B933" s="8"/>
      <c r="C933" s="8"/>
      <c r="F933" s="8"/>
    </row>
    <row r="934" spans="1:6" s="9" customFormat="1" ht="15" customHeight="1" x14ac:dyDescent="0.2">
      <c r="A934" s="8"/>
      <c r="B934" s="8"/>
      <c r="C934" s="8"/>
      <c r="F934" s="8"/>
    </row>
    <row r="935" spans="1:6" s="9" customFormat="1" ht="15" customHeight="1" x14ac:dyDescent="0.2">
      <c r="A935" s="8"/>
      <c r="B935" s="8"/>
      <c r="C935" s="8"/>
      <c r="F935" s="8"/>
    </row>
    <row r="936" spans="1:6" s="9" customFormat="1" ht="15" customHeight="1" x14ac:dyDescent="0.2">
      <c r="A936" s="8"/>
      <c r="B936" s="8"/>
      <c r="C936" s="8"/>
      <c r="F936" s="8"/>
    </row>
    <row r="937" spans="1:6" s="9" customFormat="1" ht="15" customHeight="1" x14ac:dyDescent="0.2">
      <c r="A937" s="8"/>
      <c r="B937" s="8"/>
      <c r="C937" s="8"/>
      <c r="F937" s="8"/>
    </row>
    <row r="938" spans="1:6" s="9" customFormat="1" ht="15" customHeight="1" x14ac:dyDescent="0.2">
      <c r="A938" s="8"/>
      <c r="B938" s="8"/>
      <c r="C938" s="8"/>
      <c r="F938" s="8"/>
    </row>
    <row r="939" spans="1:6" s="9" customFormat="1" ht="15" customHeight="1" x14ac:dyDescent="0.2">
      <c r="A939" s="8"/>
      <c r="B939" s="8"/>
      <c r="C939" s="8"/>
      <c r="F939" s="8"/>
    </row>
    <row r="940" spans="1:6" s="9" customFormat="1" ht="15" customHeight="1" x14ac:dyDescent="0.2">
      <c r="A940" s="8"/>
      <c r="B940" s="8"/>
      <c r="C940" s="8"/>
      <c r="F940" s="8"/>
    </row>
    <row r="941" spans="1:6" s="9" customFormat="1" ht="15" customHeight="1" x14ac:dyDescent="0.2">
      <c r="A941" s="8"/>
      <c r="B941" s="8"/>
      <c r="C941" s="8"/>
      <c r="F941" s="8"/>
    </row>
    <row r="942" spans="1:6" s="9" customFormat="1" ht="15" customHeight="1" x14ac:dyDescent="0.2">
      <c r="A942" s="8"/>
      <c r="B942" s="8"/>
      <c r="C942" s="8"/>
      <c r="F942" s="8"/>
    </row>
    <row r="943" spans="1:6" s="9" customFormat="1" ht="15" customHeight="1" x14ac:dyDescent="0.2">
      <c r="A943" s="8"/>
      <c r="B943" s="8"/>
      <c r="C943" s="8"/>
      <c r="F943" s="8"/>
    </row>
    <row r="944" spans="1:6" s="9" customFormat="1" ht="15" customHeight="1" x14ac:dyDescent="0.2">
      <c r="A944" s="8"/>
      <c r="B944" s="8"/>
      <c r="C944" s="8"/>
      <c r="F944" s="8"/>
    </row>
    <row r="945" spans="1:6" s="9" customFormat="1" ht="15" customHeight="1" x14ac:dyDescent="0.2">
      <c r="A945" s="8"/>
      <c r="B945" s="8"/>
      <c r="C945" s="8"/>
      <c r="F945" s="8"/>
    </row>
    <row r="946" spans="1:6" s="9" customFormat="1" ht="15" customHeight="1" x14ac:dyDescent="0.2">
      <c r="A946" s="8"/>
      <c r="B946" s="8"/>
      <c r="C946" s="8"/>
      <c r="F946" s="8"/>
    </row>
    <row r="947" spans="1:6" s="9" customFormat="1" ht="15" customHeight="1" x14ac:dyDescent="0.2">
      <c r="A947" s="8"/>
      <c r="B947" s="8"/>
      <c r="C947" s="8"/>
      <c r="F947" s="8"/>
    </row>
    <row r="948" spans="1:6" s="9" customFormat="1" ht="15" customHeight="1" x14ac:dyDescent="0.2">
      <c r="A948" s="8"/>
      <c r="B948" s="8"/>
      <c r="C948" s="8"/>
      <c r="F948" s="8"/>
    </row>
    <row r="949" spans="1:6" s="9" customFormat="1" ht="15" customHeight="1" x14ac:dyDescent="0.2">
      <c r="A949" s="8"/>
      <c r="B949" s="8"/>
      <c r="C949" s="8"/>
      <c r="F949" s="8"/>
    </row>
    <row r="950" spans="1:6" s="9" customFormat="1" ht="15" customHeight="1" x14ac:dyDescent="0.2">
      <c r="A950" s="8"/>
      <c r="B950" s="8"/>
      <c r="C950" s="8"/>
      <c r="F950" s="8"/>
    </row>
    <row r="951" spans="1:6" s="9" customFormat="1" ht="15" customHeight="1" x14ac:dyDescent="0.2">
      <c r="A951" s="8"/>
      <c r="B951" s="8"/>
      <c r="C951" s="8"/>
      <c r="F951" s="8"/>
    </row>
    <row r="952" spans="1:6" s="9" customFormat="1" ht="15" customHeight="1" x14ac:dyDescent="0.2">
      <c r="A952" s="8"/>
      <c r="B952" s="8"/>
      <c r="C952" s="8"/>
      <c r="F952" s="8"/>
    </row>
    <row r="953" spans="1:6" s="9" customFormat="1" ht="15" customHeight="1" x14ac:dyDescent="0.2">
      <c r="A953" s="8"/>
      <c r="B953" s="8"/>
      <c r="C953" s="8"/>
      <c r="F953" s="8"/>
    </row>
    <row r="954" spans="1:6" s="9" customFormat="1" ht="15" customHeight="1" x14ac:dyDescent="0.2">
      <c r="A954" s="8"/>
      <c r="B954" s="8"/>
      <c r="C954" s="8"/>
      <c r="F954" s="8"/>
    </row>
    <row r="955" spans="1:6" s="9" customFormat="1" ht="15" customHeight="1" x14ac:dyDescent="0.2">
      <c r="A955" s="8"/>
      <c r="B955" s="8"/>
      <c r="C955" s="8"/>
      <c r="F955" s="8"/>
    </row>
    <row r="956" spans="1:6" s="9" customFormat="1" ht="15" customHeight="1" x14ac:dyDescent="0.2">
      <c r="A956" s="8"/>
      <c r="B956" s="8"/>
      <c r="C956" s="8"/>
      <c r="F956" s="8"/>
    </row>
    <row r="957" spans="1:6" s="9" customFormat="1" ht="15" customHeight="1" x14ac:dyDescent="0.2">
      <c r="A957" s="8"/>
      <c r="B957" s="8"/>
      <c r="C957" s="8"/>
      <c r="F957" s="8"/>
    </row>
    <row r="958" spans="1:6" s="9" customFormat="1" ht="15" customHeight="1" x14ac:dyDescent="0.2">
      <c r="A958" s="8"/>
      <c r="B958" s="8"/>
      <c r="C958" s="8"/>
      <c r="F958" s="8"/>
    </row>
    <row r="959" spans="1:6" s="9" customFormat="1" ht="15" customHeight="1" x14ac:dyDescent="0.2">
      <c r="A959" s="8"/>
      <c r="B959" s="8"/>
      <c r="C959" s="8"/>
      <c r="F959" s="8"/>
    </row>
    <row r="960" spans="1:6" s="9" customFormat="1" ht="15" customHeight="1" x14ac:dyDescent="0.2">
      <c r="A960" s="8"/>
      <c r="B960" s="8"/>
      <c r="C960" s="8"/>
      <c r="F960" s="8"/>
    </row>
    <row r="961" spans="1:6" s="9" customFormat="1" ht="15" customHeight="1" x14ac:dyDescent="0.2">
      <c r="A961" s="8"/>
      <c r="B961" s="8"/>
      <c r="C961" s="8"/>
      <c r="F961" s="8"/>
    </row>
    <row r="962" spans="1:6" s="9" customFormat="1" ht="15" customHeight="1" x14ac:dyDescent="0.2">
      <c r="A962" s="8"/>
      <c r="B962" s="8"/>
      <c r="C962" s="8"/>
      <c r="F962" s="8"/>
    </row>
    <row r="963" spans="1:6" s="9" customFormat="1" ht="15" customHeight="1" x14ac:dyDescent="0.2">
      <c r="A963" s="8"/>
      <c r="B963" s="8"/>
      <c r="C963" s="8"/>
      <c r="F963" s="8"/>
    </row>
    <row r="964" spans="1:6" s="9" customFormat="1" ht="15" customHeight="1" x14ac:dyDescent="0.2">
      <c r="A964" s="8"/>
      <c r="B964" s="8"/>
      <c r="C964" s="8"/>
      <c r="F964" s="8"/>
    </row>
    <row r="965" spans="1:6" s="9" customFormat="1" ht="15" customHeight="1" x14ac:dyDescent="0.2">
      <c r="A965" s="8"/>
      <c r="B965" s="8"/>
      <c r="C965" s="8"/>
      <c r="F965" s="8"/>
    </row>
    <row r="966" spans="1:6" s="9" customFormat="1" ht="15" customHeight="1" x14ac:dyDescent="0.2">
      <c r="A966" s="8"/>
      <c r="B966" s="8"/>
      <c r="C966" s="8"/>
      <c r="F966" s="8"/>
    </row>
    <row r="967" spans="1:6" s="9" customFormat="1" ht="15" customHeight="1" x14ac:dyDescent="0.2">
      <c r="A967" s="8"/>
      <c r="B967" s="8"/>
      <c r="C967" s="8"/>
      <c r="F967" s="8"/>
    </row>
    <row r="968" spans="1:6" s="9" customFormat="1" ht="15" customHeight="1" x14ac:dyDescent="0.2">
      <c r="A968" s="8"/>
      <c r="B968" s="8"/>
      <c r="C968" s="8"/>
      <c r="F968" s="8"/>
    </row>
    <row r="969" spans="1:6" s="9" customFormat="1" ht="15" customHeight="1" x14ac:dyDescent="0.2">
      <c r="A969" s="8"/>
      <c r="B969" s="8"/>
      <c r="C969" s="8"/>
      <c r="F969" s="8"/>
    </row>
    <row r="970" spans="1:6" s="9" customFormat="1" ht="15" customHeight="1" x14ac:dyDescent="0.2">
      <c r="A970" s="8"/>
      <c r="B970" s="8"/>
      <c r="C970" s="8"/>
      <c r="F970" s="8"/>
    </row>
    <row r="971" spans="1:6" s="9" customFormat="1" ht="15" customHeight="1" x14ac:dyDescent="0.2">
      <c r="A971" s="8"/>
      <c r="B971" s="8"/>
      <c r="C971" s="8"/>
      <c r="F971" s="8"/>
    </row>
    <row r="972" spans="1:6" s="9" customFormat="1" ht="15" customHeight="1" x14ac:dyDescent="0.2">
      <c r="A972" s="8"/>
      <c r="B972" s="8"/>
      <c r="C972" s="8"/>
      <c r="F972" s="8"/>
    </row>
    <row r="973" spans="1:6" s="9" customFormat="1" ht="15" customHeight="1" x14ac:dyDescent="0.2">
      <c r="A973" s="8"/>
      <c r="B973" s="8"/>
      <c r="C973" s="8"/>
      <c r="F973" s="8"/>
    </row>
    <row r="974" spans="1:6" s="9" customFormat="1" ht="15" customHeight="1" x14ac:dyDescent="0.2">
      <c r="A974" s="8"/>
      <c r="B974" s="8"/>
      <c r="C974" s="8"/>
      <c r="F974" s="8"/>
    </row>
    <row r="975" spans="1:6" s="9" customFormat="1" ht="15" customHeight="1" x14ac:dyDescent="0.2">
      <c r="A975" s="8"/>
      <c r="B975" s="8"/>
      <c r="C975" s="8"/>
      <c r="F975" s="8"/>
    </row>
    <row r="976" spans="1:6" s="9" customFormat="1" ht="15" customHeight="1" x14ac:dyDescent="0.2">
      <c r="A976" s="8"/>
      <c r="B976" s="8"/>
      <c r="C976" s="8"/>
      <c r="F976" s="8"/>
    </row>
    <row r="977" spans="1:6" s="9" customFormat="1" ht="15" customHeight="1" x14ac:dyDescent="0.2">
      <c r="A977" s="8"/>
      <c r="B977" s="8"/>
      <c r="C977" s="8"/>
      <c r="F977" s="8"/>
    </row>
    <row r="978" spans="1:6" s="9" customFormat="1" ht="15" customHeight="1" x14ac:dyDescent="0.2">
      <c r="A978" s="8"/>
      <c r="B978" s="8"/>
      <c r="C978" s="8"/>
      <c r="F978" s="8"/>
    </row>
    <row r="979" spans="1:6" s="9" customFormat="1" ht="15" customHeight="1" x14ac:dyDescent="0.2">
      <c r="A979" s="8"/>
      <c r="B979" s="8"/>
      <c r="C979" s="8"/>
      <c r="F979" s="8"/>
    </row>
    <row r="980" spans="1:6" s="9" customFormat="1" ht="15" customHeight="1" x14ac:dyDescent="0.2">
      <c r="A980" s="8"/>
      <c r="B980" s="8"/>
      <c r="C980" s="8"/>
      <c r="F980" s="8"/>
    </row>
    <row r="981" spans="1:6" s="9" customFormat="1" ht="15" customHeight="1" x14ac:dyDescent="0.2">
      <c r="A981" s="8"/>
      <c r="B981" s="8"/>
      <c r="C981" s="8"/>
      <c r="F981" s="8"/>
    </row>
    <row r="982" spans="1:6" s="9" customFormat="1" ht="15" customHeight="1" x14ac:dyDescent="0.2">
      <c r="A982" s="8"/>
      <c r="B982" s="8"/>
      <c r="C982" s="8"/>
      <c r="F982" s="8"/>
    </row>
    <row r="983" spans="1:6" s="9" customFormat="1" ht="15" customHeight="1" x14ac:dyDescent="0.2">
      <c r="A983" s="8"/>
      <c r="B983" s="8"/>
      <c r="C983" s="8"/>
      <c r="F983" s="8"/>
    </row>
    <row r="984" spans="1:6" s="9" customFormat="1" ht="15" customHeight="1" x14ac:dyDescent="0.2">
      <c r="A984" s="8"/>
      <c r="B984" s="8"/>
      <c r="C984" s="8"/>
      <c r="F984" s="8"/>
    </row>
    <row r="985" spans="1:6" s="9" customFormat="1" ht="15" customHeight="1" x14ac:dyDescent="0.2">
      <c r="A985" s="8"/>
      <c r="B985" s="8"/>
      <c r="C985" s="8"/>
      <c r="F985" s="8"/>
    </row>
    <row r="986" spans="1:6" s="9" customFormat="1" ht="15" customHeight="1" x14ac:dyDescent="0.2">
      <c r="A986" s="8"/>
      <c r="B986" s="8"/>
      <c r="C986" s="8"/>
      <c r="F986" s="8"/>
    </row>
    <row r="987" spans="1:6" s="9" customFormat="1" ht="15" customHeight="1" x14ac:dyDescent="0.2">
      <c r="A987" s="8"/>
      <c r="B987" s="8"/>
      <c r="C987" s="8"/>
      <c r="F987" s="8"/>
    </row>
    <row r="988" spans="1:6" s="9" customFormat="1" ht="15" customHeight="1" x14ac:dyDescent="0.2">
      <c r="A988" s="8"/>
      <c r="B988" s="8"/>
      <c r="C988" s="8"/>
      <c r="F988" s="8"/>
    </row>
    <row r="989" spans="1:6" s="9" customFormat="1" ht="15" customHeight="1" x14ac:dyDescent="0.2">
      <c r="A989" s="8"/>
      <c r="B989" s="8"/>
      <c r="C989" s="8"/>
      <c r="F989" s="8"/>
    </row>
    <row r="990" spans="1:6" s="9" customFormat="1" ht="15" customHeight="1" x14ac:dyDescent="0.2">
      <c r="A990" s="8"/>
      <c r="B990" s="8"/>
      <c r="C990" s="8"/>
      <c r="F990" s="8"/>
    </row>
    <row r="991" spans="1:6" s="9" customFormat="1" ht="15" customHeight="1" x14ac:dyDescent="0.2">
      <c r="A991" s="8"/>
      <c r="B991" s="8"/>
      <c r="C991" s="8"/>
      <c r="F991" s="8"/>
    </row>
    <row r="992" spans="1:6" s="9" customFormat="1" ht="15" customHeight="1" x14ac:dyDescent="0.2">
      <c r="A992" s="8"/>
      <c r="B992" s="8"/>
      <c r="C992" s="8"/>
      <c r="F992" s="8"/>
    </row>
    <row r="993" spans="1:6" s="9" customFormat="1" ht="15" customHeight="1" x14ac:dyDescent="0.2">
      <c r="A993" s="8"/>
      <c r="B993" s="8"/>
      <c r="C993" s="8"/>
      <c r="F993" s="8"/>
    </row>
    <row r="994" spans="1:6" s="9" customFormat="1" ht="15" customHeight="1" x14ac:dyDescent="0.2">
      <c r="A994" s="8"/>
      <c r="B994" s="8"/>
      <c r="C994" s="8"/>
      <c r="F994" s="8"/>
    </row>
    <row r="995" spans="1:6" s="9" customFormat="1" ht="15" customHeight="1" x14ac:dyDescent="0.2">
      <c r="A995" s="8"/>
      <c r="B995" s="8"/>
      <c r="C995" s="8"/>
      <c r="F995" s="8"/>
    </row>
    <row r="996" spans="1:6" s="9" customFormat="1" ht="15" customHeight="1" x14ac:dyDescent="0.2">
      <c r="A996" s="8"/>
      <c r="B996" s="8"/>
      <c r="C996" s="8"/>
      <c r="F996" s="8"/>
    </row>
    <row r="997" spans="1:6" s="9" customFormat="1" ht="15" customHeight="1" x14ac:dyDescent="0.2">
      <c r="A997" s="8"/>
      <c r="B997" s="8"/>
      <c r="C997" s="8"/>
      <c r="F997" s="8"/>
    </row>
    <row r="998" spans="1:6" s="9" customFormat="1" ht="15" customHeight="1" x14ac:dyDescent="0.2">
      <c r="A998" s="8"/>
      <c r="B998" s="8"/>
      <c r="C998" s="8"/>
      <c r="F998" s="8"/>
    </row>
    <row r="999" spans="1:6" s="9" customFormat="1" ht="15" customHeight="1" x14ac:dyDescent="0.2">
      <c r="A999" s="8"/>
      <c r="B999" s="8"/>
      <c r="C999" s="8"/>
      <c r="F999" s="8"/>
    </row>
    <row r="1000" spans="1:6" s="9" customFormat="1" ht="15" customHeight="1" x14ac:dyDescent="0.2">
      <c r="A1000" s="8"/>
      <c r="B1000" s="8"/>
      <c r="C1000" s="8"/>
      <c r="F1000" s="8"/>
    </row>
    <row r="1001" spans="1:6" s="9" customFormat="1" ht="15" customHeight="1" x14ac:dyDescent="0.2">
      <c r="A1001" s="8"/>
      <c r="B1001" s="8"/>
      <c r="C1001" s="8"/>
      <c r="F1001" s="8"/>
    </row>
    <row r="1002" spans="1:6" s="9" customFormat="1" ht="15" customHeight="1" x14ac:dyDescent="0.2">
      <c r="A1002" s="8"/>
      <c r="B1002" s="8"/>
      <c r="C1002" s="8"/>
      <c r="F1002" s="8"/>
    </row>
    <row r="1003" spans="1:6" s="9" customFormat="1" ht="15" customHeight="1" x14ac:dyDescent="0.2">
      <c r="A1003" s="8"/>
      <c r="B1003" s="8"/>
      <c r="C1003" s="8"/>
      <c r="F1003" s="8"/>
    </row>
    <row r="1004" spans="1:6" s="9" customFormat="1" ht="15" customHeight="1" x14ac:dyDescent="0.2">
      <c r="A1004" s="8"/>
      <c r="B1004" s="8"/>
      <c r="C1004" s="8"/>
      <c r="F1004" s="8"/>
    </row>
    <row r="1005" spans="1:6" s="9" customFormat="1" ht="15" customHeight="1" x14ac:dyDescent="0.2">
      <c r="A1005" s="8"/>
      <c r="B1005" s="8"/>
      <c r="C1005" s="8"/>
      <c r="F1005" s="8"/>
    </row>
    <row r="1006" spans="1:6" s="9" customFormat="1" ht="15" customHeight="1" x14ac:dyDescent="0.2">
      <c r="A1006" s="8"/>
      <c r="B1006" s="8"/>
      <c r="C1006" s="8"/>
      <c r="F1006" s="8"/>
    </row>
    <row r="1007" spans="1:6" s="9" customFormat="1" ht="15" customHeight="1" x14ac:dyDescent="0.2">
      <c r="A1007" s="8"/>
      <c r="B1007" s="8"/>
      <c r="C1007" s="8"/>
      <c r="F1007" s="8"/>
    </row>
    <row r="1008" spans="1:6" s="9" customFormat="1" ht="15" customHeight="1" x14ac:dyDescent="0.2">
      <c r="A1008" s="8"/>
      <c r="B1008" s="8"/>
      <c r="C1008" s="8"/>
      <c r="F1008" s="8"/>
    </row>
    <row r="1009" spans="1:6" s="9" customFormat="1" ht="15" customHeight="1" x14ac:dyDescent="0.2">
      <c r="A1009" s="8"/>
      <c r="B1009" s="8"/>
      <c r="C1009" s="8"/>
      <c r="F1009" s="8"/>
    </row>
    <row r="1010" spans="1:6" s="9" customFormat="1" ht="15" customHeight="1" x14ac:dyDescent="0.2">
      <c r="A1010" s="8"/>
      <c r="B1010" s="8"/>
      <c r="C1010" s="8"/>
      <c r="F1010" s="8"/>
    </row>
    <row r="1011" spans="1:6" s="9" customFormat="1" ht="15" customHeight="1" x14ac:dyDescent="0.2">
      <c r="A1011" s="8"/>
      <c r="B1011" s="8"/>
      <c r="C1011" s="8"/>
      <c r="F1011" s="8"/>
    </row>
    <row r="1012" spans="1:6" s="9" customFormat="1" ht="15" customHeight="1" x14ac:dyDescent="0.2">
      <c r="A1012" s="8"/>
      <c r="B1012" s="8"/>
      <c r="C1012" s="8"/>
      <c r="F1012" s="8"/>
    </row>
    <row r="1013" spans="1:6" s="9" customFormat="1" ht="15" customHeight="1" x14ac:dyDescent="0.2">
      <c r="A1013" s="8"/>
      <c r="B1013" s="8"/>
      <c r="C1013" s="8"/>
      <c r="F1013" s="8"/>
    </row>
    <row r="1014" spans="1:6" s="9" customFormat="1" ht="15" customHeight="1" x14ac:dyDescent="0.2">
      <c r="A1014" s="8"/>
      <c r="B1014" s="8"/>
      <c r="C1014" s="8"/>
      <c r="F1014" s="8"/>
    </row>
    <row r="1015" spans="1:6" s="9" customFormat="1" ht="15" customHeight="1" x14ac:dyDescent="0.2">
      <c r="A1015" s="8"/>
      <c r="B1015" s="8"/>
      <c r="C1015" s="8"/>
      <c r="F1015" s="8"/>
    </row>
    <row r="1016" spans="1:6" s="9" customFormat="1" ht="15" customHeight="1" x14ac:dyDescent="0.2">
      <c r="A1016" s="8"/>
      <c r="B1016" s="8"/>
      <c r="C1016" s="8"/>
      <c r="F1016" s="8"/>
    </row>
    <row r="1017" spans="1:6" s="9" customFormat="1" ht="15" customHeight="1" x14ac:dyDescent="0.2">
      <c r="A1017" s="8"/>
      <c r="B1017" s="8"/>
      <c r="C1017" s="8"/>
      <c r="F1017" s="8"/>
    </row>
    <row r="1018" spans="1:6" s="9" customFormat="1" ht="15" customHeight="1" x14ac:dyDescent="0.2">
      <c r="A1018" s="8"/>
      <c r="B1018" s="8"/>
      <c r="C1018" s="8"/>
      <c r="F1018" s="8"/>
    </row>
  </sheetData>
  <mergeCells count="4">
    <mergeCell ref="A1:F1"/>
    <mergeCell ref="A4:B4"/>
    <mergeCell ref="C4:D4"/>
    <mergeCell ref="A2:F2"/>
  </mergeCells>
  <phoneticPr fontId="0" type="noConversion"/>
  <printOptions horizontalCentered="1" verticalCentered="1"/>
  <pageMargins left="0" right="0" top="0" bottom="0" header="0.11811023622047245" footer="0"/>
  <pageSetup paperSize="9" scale="70" orientation="portrait" r:id="rId1"/>
  <headerFooter alignWithMargins="0">
    <oddHeader xml:space="preserve">&amp;C
&amp;R&amp;"Cambria,Félkövér"&amp;11  18. melléklet a .../2025. (........) önkormányzati rendelethez
</oddHeader>
  </headerFooter>
  <rowBreaks count="1" manualBreakCount="1">
    <brk id="40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F2DE-A287-42FB-BF27-3CEDEB5D161F}">
  <sheetPr>
    <tabColor theme="0"/>
  </sheetPr>
  <dimension ref="B1:L108"/>
  <sheetViews>
    <sheetView zoomScale="75" zoomScaleNormal="75" zoomScaleSheetLayoutView="75" workbookViewId="0">
      <selection activeCell="I30" sqref="I30"/>
    </sheetView>
  </sheetViews>
  <sheetFormatPr defaultColWidth="12" defaultRowHeight="15" x14ac:dyDescent="0.2"/>
  <cols>
    <col min="1" max="1" width="9.1640625" style="522" customWidth="1"/>
    <col min="2" max="2" width="82.6640625" style="522" customWidth="1"/>
    <col min="3" max="4" width="24" style="522" customWidth="1"/>
    <col min="5" max="5" width="20.6640625" style="522" bestFit="1" customWidth="1"/>
    <col min="6" max="6" width="18.5" style="522" customWidth="1"/>
    <col min="7" max="7" width="24.1640625" style="522" customWidth="1"/>
    <col min="8" max="8" width="92.5" style="522" customWidth="1"/>
    <col min="9" max="9" width="27.83203125" style="522" customWidth="1"/>
    <col min="10" max="10" width="14" style="522" bestFit="1" customWidth="1"/>
    <col min="11" max="11" width="38" style="522" customWidth="1"/>
    <col min="12" max="12" width="17.33203125" style="522" customWidth="1"/>
    <col min="13" max="13" width="16.83203125" style="522" bestFit="1" customWidth="1"/>
    <col min="14" max="15" width="12" style="522"/>
    <col min="16" max="16" width="22.83203125" style="522" customWidth="1"/>
    <col min="17" max="17" width="16.1640625" style="522" customWidth="1"/>
    <col min="18" max="16384" width="12" style="522"/>
  </cols>
  <sheetData>
    <row r="1" spans="2:12" ht="40.5" customHeight="1" x14ac:dyDescent="0.3">
      <c r="B1" s="1866" t="s">
        <v>1200</v>
      </c>
      <c r="C1" s="1866"/>
      <c r="D1" s="521"/>
    </row>
    <row r="2" spans="2:12" ht="43.5" customHeight="1" thickBot="1" x14ac:dyDescent="0.3">
      <c r="B2" s="523"/>
      <c r="C2" s="524" t="s">
        <v>14</v>
      </c>
    </row>
    <row r="3" spans="2:12" ht="39.950000000000003" customHeight="1" x14ac:dyDescent="0.3">
      <c r="B3" s="1056" t="s">
        <v>646</v>
      </c>
      <c r="C3" s="1057">
        <v>7613661</v>
      </c>
      <c r="E3" s="525"/>
      <c r="G3" s="50"/>
      <c r="H3" s="50"/>
      <c r="I3" s="50"/>
      <c r="J3" s="50"/>
      <c r="K3" s="50"/>
      <c r="L3" s="50"/>
    </row>
    <row r="4" spans="2:12" s="528" customFormat="1" ht="39.950000000000003" customHeight="1" x14ac:dyDescent="0.3">
      <c r="B4" s="1058" t="s">
        <v>647</v>
      </c>
      <c r="C4" s="1059">
        <f>+'1 kiemelt előirányzatok telj. '!E20</f>
        <v>39869772</v>
      </c>
      <c r="D4" s="526"/>
      <c r="E4" s="527"/>
      <c r="G4" s="526"/>
      <c r="H4" s="526"/>
      <c r="I4" s="526"/>
      <c r="J4" s="526"/>
      <c r="K4" s="50"/>
      <c r="L4" s="526"/>
    </row>
    <row r="5" spans="2:12" ht="39.950000000000003" customHeight="1" x14ac:dyDescent="0.3">
      <c r="B5" s="1060" t="s">
        <v>648</v>
      </c>
      <c r="C5" s="1072">
        <v>413775</v>
      </c>
      <c r="D5" s="50"/>
      <c r="E5" s="529"/>
      <c r="F5" s="529"/>
      <c r="G5" s="50"/>
      <c r="H5" s="50"/>
      <c r="I5" s="50"/>
      <c r="J5" s="50"/>
      <c r="K5" s="50"/>
      <c r="L5" s="50"/>
    </row>
    <row r="6" spans="2:12" ht="39.950000000000003" customHeight="1" x14ac:dyDescent="0.3">
      <c r="B6" s="1061" t="s">
        <v>1199</v>
      </c>
      <c r="C6" s="1062">
        <v>-7543645</v>
      </c>
      <c r="D6" s="50"/>
      <c r="E6" s="529"/>
      <c r="G6" s="50"/>
      <c r="H6" s="50"/>
      <c r="I6" s="50"/>
      <c r="J6" s="50"/>
      <c r="K6" s="50"/>
      <c r="L6" s="50"/>
    </row>
    <row r="7" spans="2:12" ht="57" customHeight="1" x14ac:dyDescent="0.3">
      <c r="B7" s="1063" t="s">
        <v>649</v>
      </c>
      <c r="C7" s="1062">
        <v>-455</v>
      </c>
      <c r="E7" s="529"/>
      <c r="G7" s="50"/>
      <c r="H7" s="50"/>
      <c r="I7" s="50"/>
      <c r="J7" s="50"/>
      <c r="K7" s="50"/>
      <c r="L7" s="50"/>
    </row>
    <row r="8" spans="2:12" s="528" customFormat="1" ht="39.950000000000003" customHeight="1" x14ac:dyDescent="0.3">
      <c r="B8" s="1058" t="s">
        <v>650</v>
      </c>
      <c r="C8" s="1059">
        <f>-'1 kiemelt előirányzatok telj. '!J20</f>
        <v>-36653394</v>
      </c>
      <c r="D8" s="530"/>
      <c r="E8" s="527"/>
      <c r="G8" s="526"/>
      <c r="H8" s="526"/>
      <c r="I8" s="526"/>
      <c r="J8" s="526"/>
      <c r="K8" s="50"/>
      <c r="L8" s="526"/>
    </row>
    <row r="9" spans="2:12" ht="39.950000000000003" customHeight="1" thickBot="1" x14ac:dyDescent="0.35">
      <c r="B9" s="1064" t="s">
        <v>651</v>
      </c>
      <c r="C9" s="1065">
        <f>SUM(C3:C8)</f>
        <v>3699714</v>
      </c>
      <c r="D9" s="50"/>
      <c r="E9" s="531"/>
      <c r="F9" s="50"/>
      <c r="G9" s="50"/>
      <c r="H9" s="50"/>
      <c r="I9" s="50"/>
      <c r="J9" s="50"/>
      <c r="K9" s="50"/>
      <c r="L9" s="50"/>
    </row>
    <row r="10" spans="2:12" ht="39.950000000000003" customHeight="1" x14ac:dyDescent="0.3">
      <c r="B10" s="1066" t="s">
        <v>652</v>
      </c>
      <c r="C10" s="1067"/>
      <c r="D10" s="50"/>
      <c r="E10" s="33"/>
      <c r="G10" s="50"/>
      <c r="H10" s="50"/>
      <c r="I10" s="50"/>
      <c r="J10" s="50"/>
      <c r="K10" s="50"/>
      <c r="L10" s="50"/>
    </row>
    <row r="11" spans="2:12" ht="39.950000000000003" customHeight="1" x14ac:dyDescent="0.3">
      <c r="B11" s="1068" t="s">
        <v>653</v>
      </c>
      <c r="C11" s="1069">
        <v>655666</v>
      </c>
      <c r="D11" s="50"/>
      <c r="E11" s="33"/>
      <c r="G11" s="50"/>
      <c r="H11" s="50"/>
      <c r="I11" s="50"/>
    </row>
    <row r="12" spans="2:12" ht="39.950000000000003" customHeight="1" thickBot="1" x14ac:dyDescent="0.35">
      <c r="B12" s="1070" t="s">
        <v>654</v>
      </c>
      <c r="C12" s="1071">
        <v>3044048</v>
      </c>
      <c r="D12" s="50"/>
      <c r="E12" s="33"/>
    </row>
    <row r="13" spans="2:12" ht="35.1" customHeight="1" x14ac:dyDescent="0.2">
      <c r="C13" s="50"/>
      <c r="D13" s="50"/>
    </row>
    <row r="14" spans="2:12" ht="35.1" customHeight="1" x14ac:dyDescent="0.2"/>
    <row r="15" spans="2:12" ht="35.1" customHeight="1" x14ac:dyDescent="0.2"/>
    <row r="16" spans="2:12" ht="35.1" customHeight="1" x14ac:dyDescent="0.2"/>
    <row r="17" spans="2:6" ht="35.1" customHeight="1" x14ac:dyDescent="0.2">
      <c r="E17" s="50"/>
      <c r="F17" s="532"/>
    </row>
    <row r="18" spans="2:6" ht="60.75" customHeight="1" x14ac:dyDescent="0.2">
      <c r="B18" s="533"/>
      <c r="E18" s="50"/>
      <c r="F18" s="532"/>
    </row>
    <row r="19" spans="2:6" ht="35.1" customHeight="1" x14ac:dyDescent="0.2">
      <c r="E19" s="50"/>
      <c r="F19" s="532"/>
    </row>
    <row r="20" spans="2:6" ht="35.1" customHeight="1" x14ac:dyDescent="0.2">
      <c r="B20" s="533"/>
      <c r="E20" s="50"/>
      <c r="F20" s="532"/>
    </row>
    <row r="21" spans="2:6" ht="35.1" customHeight="1" x14ac:dyDescent="0.2">
      <c r="E21" s="50"/>
      <c r="F21" s="532"/>
    </row>
    <row r="22" spans="2:6" ht="35.1" customHeight="1" x14ac:dyDescent="0.2">
      <c r="B22" s="533"/>
      <c r="C22" s="534"/>
      <c r="E22" s="50"/>
      <c r="F22" s="532"/>
    </row>
    <row r="23" spans="2:6" ht="35.1" customHeight="1" x14ac:dyDescent="0.2">
      <c r="C23" s="534"/>
      <c r="E23" s="50"/>
      <c r="F23" s="532"/>
    </row>
    <row r="24" spans="2:6" ht="35.1" customHeight="1" x14ac:dyDescent="0.2">
      <c r="E24" s="50"/>
    </row>
    <row r="25" spans="2:6" ht="35.1" customHeight="1" x14ac:dyDescent="0.2">
      <c r="E25" s="50"/>
    </row>
    <row r="26" spans="2:6" ht="35.1" customHeight="1" x14ac:dyDescent="0.2">
      <c r="B26"/>
      <c r="C26" s="50"/>
      <c r="E26" s="50"/>
    </row>
    <row r="27" spans="2:6" ht="35.1" customHeight="1" x14ac:dyDescent="0.2">
      <c r="B27"/>
      <c r="C27" s="50"/>
    </row>
    <row r="28" spans="2:6" ht="35.1" customHeight="1" x14ac:dyDescent="0.2">
      <c r="C28" s="50"/>
    </row>
    <row r="29" spans="2:6" ht="35.1" customHeight="1" x14ac:dyDescent="0.2">
      <c r="C29" s="50"/>
    </row>
    <row r="30" spans="2:6" ht="35.1" customHeight="1" x14ac:dyDescent="0.2">
      <c r="C30" s="50"/>
    </row>
    <row r="31" spans="2:6" ht="35.1" customHeight="1" x14ac:dyDescent="0.2">
      <c r="C31" s="50"/>
    </row>
    <row r="32" spans="2:6" ht="35.1" customHeight="1" x14ac:dyDescent="0.2">
      <c r="C32" s="50"/>
    </row>
    <row r="33" spans="3:3" ht="35.1" customHeight="1" x14ac:dyDescent="0.2">
      <c r="C33" s="50"/>
    </row>
    <row r="34" spans="3:3" ht="35.1" customHeight="1" x14ac:dyDescent="0.2">
      <c r="C34" s="50"/>
    </row>
    <row r="35" spans="3:3" ht="35.1" customHeight="1" x14ac:dyDescent="0.2">
      <c r="C35" s="50"/>
    </row>
    <row r="36" spans="3:3" ht="35.1" customHeight="1" x14ac:dyDescent="0.2">
      <c r="C36" s="50"/>
    </row>
    <row r="37" spans="3:3" ht="35.1" customHeight="1" x14ac:dyDescent="0.2">
      <c r="C37" s="50"/>
    </row>
    <row r="38" spans="3:3" ht="35.1" customHeight="1" x14ac:dyDescent="0.2">
      <c r="C38" s="50"/>
    </row>
    <row r="39" spans="3:3" ht="35.1" customHeight="1" x14ac:dyDescent="0.2">
      <c r="C39" s="50"/>
    </row>
    <row r="40" spans="3:3" ht="35.1" customHeight="1" x14ac:dyDescent="0.2">
      <c r="C40" s="50"/>
    </row>
    <row r="41" spans="3:3" ht="35.1" customHeight="1" x14ac:dyDescent="0.2">
      <c r="C41" s="50"/>
    </row>
    <row r="42" spans="3:3" ht="35.1" customHeight="1" x14ac:dyDescent="0.2">
      <c r="C42" s="50"/>
    </row>
    <row r="43" spans="3:3" ht="35.1" customHeight="1" x14ac:dyDescent="0.2">
      <c r="C43" s="50"/>
    </row>
    <row r="44" spans="3:3" ht="35.1" customHeight="1" x14ac:dyDescent="0.2">
      <c r="C44" s="50"/>
    </row>
    <row r="45" spans="3:3" ht="35.1" customHeight="1" x14ac:dyDescent="0.2">
      <c r="C45" s="50"/>
    </row>
    <row r="46" spans="3:3" ht="35.1" customHeight="1" x14ac:dyDescent="0.2">
      <c r="C46" s="50"/>
    </row>
    <row r="47" spans="3:3" ht="35.1" customHeight="1" x14ac:dyDescent="0.2">
      <c r="C47" s="50"/>
    </row>
    <row r="48" spans="3:3" ht="35.1" customHeight="1" x14ac:dyDescent="0.2">
      <c r="C48" s="50"/>
    </row>
    <row r="49" spans="3:3" ht="35.1" customHeight="1" x14ac:dyDescent="0.2">
      <c r="C49" s="50"/>
    </row>
    <row r="50" spans="3:3" ht="63" customHeight="1" x14ac:dyDescent="0.2">
      <c r="C50" s="50"/>
    </row>
    <row r="51" spans="3:3" ht="35.1" customHeight="1" x14ac:dyDescent="0.2">
      <c r="C51" s="50"/>
    </row>
    <row r="52" spans="3:3" x14ac:dyDescent="0.2">
      <c r="C52" s="50"/>
    </row>
    <row r="53" spans="3:3" ht="35.1" customHeight="1" x14ac:dyDescent="0.2">
      <c r="C53" s="50"/>
    </row>
    <row r="54" spans="3:3" ht="35.1" customHeight="1" x14ac:dyDescent="0.2">
      <c r="C54" s="50"/>
    </row>
    <row r="55" spans="3:3" ht="35.1" customHeight="1" x14ac:dyDescent="0.2">
      <c r="C55" s="50"/>
    </row>
    <row r="56" spans="3:3" ht="35.1" customHeight="1" x14ac:dyDescent="0.2">
      <c r="C56" s="50"/>
    </row>
    <row r="57" spans="3:3" ht="35.1" customHeight="1" x14ac:dyDescent="0.2">
      <c r="C57" s="50"/>
    </row>
    <row r="58" spans="3:3" ht="35.1" customHeight="1" x14ac:dyDescent="0.2">
      <c r="C58" s="50"/>
    </row>
    <row r="59" spans="3:3" ht="35.1" customHeight="1" x14ac:dyDescent="0.2">
      <c r="C59" s="50"/>
    </row>
    <row r="60" spans="3:3" ht="35.1" customHeight="1" x14ac:dyDescent="0.2">
      <c r="C60" s="50"/>
    </row>
    <row r="61" spans="3:3" ht="35.1" customHeight="1" x14ac:dyDescent="0.2">
      <c r="C61" s="50"/>
    </row>
    <row r="62" spans="3:3" ht="35.1" customHeight="1" x14ac:dyDescent="0.2">
      <c r="C62" s="50"/>
    </row>
    <row r="63" spans="3:3" ht="35.1" customHeight="1" x14ac:dyDescent="0.2">
      <c r="C63" s="50"/>
    </row>
    <row r="64" spans="3:3" ht="35.1" customHeight="1" x14ac:dyDescent="0.2">
      <c r="C64" s="50"/>
    </row>
    <row r="65" spans="3:3" ht="35.1" customHeight="1" x14ac:dyDescent="0.2">
      <c r="C65" s="50"/>
    </row>
    <row r="66" spans="3:3" ht="35.1" customHeight="1" x14ac:dyDescent="0.2">
      <c r="C66" s="50"/>
    </row>
    <row r="67" spans="3:3" ht="35.1" customHeight="1" x14ac:dyDescent="0.2">
      <c r="C67" s="50"/>
    </row>
    <row r="68" spans="3:3" ht="35.1" customHeight="1" x14ac:dyDescent="0.2">
      <c r="C68" s="50"/>
    </row>
    <row r="69" spans="3:3" ht="35.1" customHeight="1" x14ac:dyDescent="0.2">
      <c r="C69" s="50"/>
    </row>
    <row r="70" spans="3:3" ht="35.1" customHeight="1" x14ac:dyDescent="0.2">
      <c r="C70" s="50"/>
    </row>
    <row r="71" spans="3:3" ht="35.1" customHeight="1" x14ac:dyDescent="0.2">
      <c r="C71" s="50"/>
    </row>
    <row r="72" spans="3:3" ht="35.1" customHeight="1" x14ac:dyDescent="0.2">
      <c r="C72" s="50"/>
    </row>
    <row r="73" spans="3:3" ht="35.1" customHeight="1" x14ac:dyDescent="0.2">
      <c r="C73" s="50"/>
    </row>
    <row r="74" spans="3:3" ht="35.1" customHeight="1" x14ac:dyDescent="0.2">
      <c r="C74" s="50"/>
    </row>
    <row r="75" spans="3:3" ht="35.1" customHeight="1" x14ac:dyDescent="0.2">
      <c r="C75" s="50"/>
    </row>
    <row r="76" spans="3:3" ht="35.1" customHeight="1" x14ac:dyDescent="0.2">
      <c r="C76" s="50"/>
    </row>
    <row r="77" spans="3:3" ht="35.1" customHeight="1" x14ac:dyDescent="0.2">
      <c r="C77" s="50"/>
    </row>
    <row r="78" spans="3:3" ht="35.1" customHeight="1" x14ac:dyDescent="0.2">
      <c r="C78" s="50"/>
    </row>
    <row r="79" spans="3:3" ht="35.1" customHeight="1" x14ac:dyDescent="0.2">
      <c r="C79" s="50"/>
    </row>
    <row r="80" spans="3:3" ht="35.1" customHeight="1" x14ac:dyDescent="0.2">
      <c r="C80" s="50"/>
    </row>
    <row r="81" spans="3:3" ht="35.1" customHeight="1" x14ac:dyDescent="0.2">
      <c r="C81" s="50"/>
    </row>
    <row r="82" spans="3:3" ht="35.1" customHeight="1" x14ac:dyDescent="0.2">
      <c r="C82" s="50"/>
    </row>
    <row r="83" spans="3:3" ht="35.1" customHeight="1" x14ac:dyDescent="0.2">
      <c r="C83" s="50"/>
    </row>
    <row r="84" spans="3:3" ht="35.1" customHeight="1" x14ac:dyDescent="0.2">
      <c r="C84" s="50"/>
    </row>
    <row r="85" spans="3:3" ht="70.5" customHeight="1" x14ac:dyDescent="0.2">
      <c r="C85" s="50"/>
    </row>
    <row r="86" spans="3:3" ht="70.5" customHeight="1" x14ac:dyDescent="0.2">
      <c r="C86" s="50"/>
    </row>
    <row r="87" spans="3:3" ht="35.1" customHeight="1" x14ac:dyDescent="0.2">
      <c r="C87" s="50"/>
    </row>
    <row r="88" spans="3:3" ht="35.1" customHeight="1" x14ac:dyDescent="0.2">
      <c r="C88" s="50"/>
    </row>
    <row r="89" spans="3:3" ht="35.1" customHeight="1" x14ac:dyDescent="0.2">
      <c r="C89" s="50"/>
    </row>
    <row r="90" spans="3:3" ht="35.1" customHeight="1" x14ac:dyDescent="0.2">
      <c r="C90" s="50"/>
    </row>
    <row r="91" spans="3:3" ht="35.1" customHeight="1" x14ac:dyDescent="0.2">
      <c r="C91" s="50"/>
    </row>
    <row r="92" spans="3:3" ht="35.1" customHeight="1" x14ac:dyDescent="0.2">
      <c r="C92" s="50"/>
    </row>
    <row r="93" spans="3:3" ht="35.1" customHeight="1" x14ac:dyDescent="0.2">
      <c r="C93" s="50"/>
    </row>
    <row r="94" spans="3:3" ht="35.1" customHeight="1" x14ac:dyDescent="0.2">
      <c r="C94" s="50"/>
    </row>
    <row r="95" spans="3:3" ht="35.1" customHeight="1" x14ac:dyDescent="0.2">
      <c r="C95" s="50"/>
    </row>
    <row r="96" spans="3:3" ht="35.1" customHeight="1" x14ac:dyDescent="0.2">
      <c r="C96" s="50"/>
    </row>
    <row r="97" ht="35.1" customHeight="1" x14ac:dyDescent="0.2"/>
    <row r="98" ht="70.5" customHeight="1" x14ac:dyDescent="0.2"/>
    <row r="99" ht="70.5" customHeight="1" x14ac:dyDescent="0.2"/>
    <row r="100" ht="69" customHeight="1" x14ac:dyDescent="0.2"/>
    <row r="101" ht="35.1" customHeight="1" x14ac:dyDescent="0.2"/>
    <row r="102" ht="75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19.5" customHeight="1" x14ac:dyDescent="0.2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 xml:space="preserve">&amp;R&amp;"Calibri,Félkövér"&amp;11 19. melléklet a …/2025. (…….)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4"/>
  <sheetViews>
    <sheetView view="pageBreakPreview" zoomScale="60" zoomScaleNormal="75" workbookViewId="0">
      <selection activeCell="I30" sqref="I30"/>
    </sheetView>
  </sheetViews>
  <sheetFormatPr defaultColWidth="9.33203125" defaultRowHeight="15" customHeight="1" x14ac:dyDescent="0.25"/>
  <cols>
    <col min="1" max="1" width="3.1640625" style="21" customWidth="1"/>
    <col min="2" max="2" width="5" style="21" customWidth="1"/>
    <col min="3" max="3" width="89.33203125" style="21" customWidth="1"/>
    <col min="4" max="4" width="26.1640625" style="21" customWidth="1"/>
    <col min="5" max="5" width="26.6640625" style="21" customWidth="1"/>
    <col min="6" max="6" width="25.83203125" style="21" customWidth="1"/>
    <col min="7" max="7" width="27.33203125" style="21" bestFit="1" customWidth="1"/>
    <col min="8" max="8" width="8.5" style="21" customWidth="1"/>
    <col min="9" max="9" width="137.33203125" style="21" customWidth="1"/>
    <col min="10" max="10" width="26.5" style="21" customWidth="1"/>
    <col min="11" max="11" width="26" style="21" customWidth="1"/>
    <col min="12" max="12" width="24.5" style="21" customWidth="1"/>
    <col min="13" max="13" width="23.83203125" style="21" customWidth="1"/>
    <col min="14" max="14" width="47.1640625" style="21" customWidth="1"/>
    <col min="15" max="15" width="17.5" style="21" customWidth="1"/>
    <col min="16" max="16" width="9.33203125" style="21"/>
    <col min="17" max="17" width="34.33203125" style="21" customWidth="1"/>
    <col min="18" max="16384" width="9.33203125" style="21"/>
  </cols>
  <sheetData>
    <row r="1" spans="1:14" ht="33" x14ac:dyDescent="0.45">
      <c r="C1" s="22"/>
      <c r="G1" s="885"/>
    </row>
    <row r="2" spans="1:14" ht="28.5" customHeight="1" x14ac:dyDescent="0.4">
      <c r="A2" s="1869" t="s">
        <v>163</v>
      </c>
      <c r="B2" s="1869"/>
      <c r="C2" s="1869"/>
      <c r="D2" s="1869"/>
      <c r="E2" s="1869"/>
      <c r="F2" s="1869"/>
      <c r="G2" s="1869"/>
      <c r="H2" s="1869"/>
      <c r="I2" s="1869"/>
      <c r="J2" s="1869"/>
      <c r="K2" s="1869"/>
      <c r="L2" s="1869"/>
      <c r="M2" s="1869"/>
    </row>
    <row r="3" spans="1:14" ht="21" customHeight="1" thickBot="1" x14ac:dyDescent="0.4">
      <c r="A3" s="83"/>
      <c r="B3" s="83"/>
      <c r="C3" s="83"/>
      <c r="D3" s="84"/>
      <c r="E3" s="84"/>
      <c r="F3" s="64"/>
      <c r="G3" s="64"/>
      <c r="H3" s="83"/>
      <c r="I3" s="83"/>
      <c r="J3" s="64"/>
      <c r="K3" s="64"/>
      <c r="L3" s="76"/>
      <c r="M3" s="1804" t="s">
        <v>14</v>
      </c>
    </row>
    <row r="4" spans="1:14" ht="24" customHeight="1" x14ac:dyDescent="0.35">
      <c r="A4" s="1689" t="s">
        <v>178</v>
      </c>
      <c r="B4" s="1690"/>
      <c r="C4" s="1691"/>
      <c r="D4" s="1870" t="s">
        <v>496</v>
      </c>
      <c r="E4" s="1870"/>
      <c r="F4" s="1692" t="s">
        <v>272</v>
      </c>
      <c r="G4" s="1693" t="s">
        <v>83</v>
      </c>
      <c r="H4" s="1699" t="s">
        <v>179</v>
      </c>
      <c r="I4" s="1700"/>
      <c r="J4" s="1870" t="s">
        <v>496</v>
      </c>
      <c r="K4" s="1870"/>
      <c r="L4" s="1692" t="s">
        <v>272</v>
      </c>
      <c r="M4" s="1701" t="s">
        <v>83</v>
      </c>
    </row>
    <row r="5" spans="1:14" ht="24.75" customHeight="1" thickBot="1" x14ac:dyDescent="0.4">
      <c r="A5" s="1694"/>
      <c r="B5" s="1695"/>
      <c r="C5" s="1695"/>
      <c r="D5" s="1696" t="s">
        <v>169</v>
      </c>
      <c r="E5" s="1696" t="s">
        <v>81</v>
      </c>
      <c r="F5" s="1697" t="s">
        <v>82</v>
      </c>
      <c r="G5" s="1698" t="s">
        <v>84</v>
      </c>
      <c r="H5" s="1695"/>
      <c r="I5" s="1702"/>
      <c r="J5" s="1696" t="s">
        <v>169</v>
      </c>
      <c r="K5" s="1696" t="s">
        <v>81</v>
      </c>
      <c r="L5" s="1697" t="s">
        <v>82</v>
      </c>
      <c r="M5" s="1703" t="s">
        <v>84</v>
      </c>
    </row>
    <row r="6" spans="1:14" ht="30" customHeight="1" x14ac:dyDescent="0.35">
      <c r="A6" s="1668" t="s">
        <v>184</v>
      </c>
      <c r="B6" s="1669"/>
      <c r="C6" s="1669"/>
      <c r="D6" s="1672">
        <f>+'3 bev.részl'!F98</f>
        <v>2301884</v>
      </c>
      <c r="E6" s="1672">
        <f>+'3 bev.részl'!G98</f>
        <v>3268464</v>
      </c>
      <c r="F6" s="1672">
        <f>+'3 bev.részl'!H98</f>
        <v>3053852</v>
      </c>
      <c r="G6" s="1673">
        <f>+F6/E6*100</f>
        <v>93.433857616299278</v>
      </c>
      <c r="H6" s="1676" t="s">
        <v>10</v>
      </c>
      <c r="I6" s="1704"/>
      <c r="J6" s="1705">
        <f>+'8 okt.'!B29</f>
        <v>5351901</v>
      </c>
      <c r="K6" s="1705">
        <f>+'8 okt.'!C29</f>
        <v>5458891</v>
      </c>
      <c r="L6" s="1705">
        <f>+'8 okt.'!D29</f>
        <v>5222603</v>
      </c>
      <c r="M6" s="1706">
        <f>+L6/K6*100</f>
        <v>95.671501775726981</v>
      </c>
    </row>
    <row r="7" spans="1:14" ht="30" customHeight="1" x14ac:dyDescent="0.35">
      <c r="A7" s="1670" t="s">
        <v>132</v>
      </c>
      <c r="B7" s="1671"/>
      <c r="C7" s="1671"/>
      <c r="D7" s="1674">
        <f>+'3 bev.részl'!F49</f>
        <v>9215822</v>
      </c>
      <c r="E7" s="1674">
        <f>+'3 bev.részl'!G49</f>
        <v>9226843</v>
      </c>
      <c r="F7" s="1674">
        <f>+'3 bev.részl'!H49</f>
        <v>9226843</v>
      </c>
      <c r="G7" s="1675">
        <f t="shared" ref="G7:G10" si="0">+F7/E7*100</f>
        <v>100</v>
      </c>
      <c r="H7" s="1670" t="s">
        <v>457</v>
      </c>
      <c r="I7" s="1707"/>
      <c r="J7" s="1708">
        <f>+'9 kult.'!B67</f>
        <v>3128261</v>
      </c>
      <c r="K7" s="1708">
        <f>+'9 kult.'!C67</f>
        <v>4370919</v>
      </c>
      <c r="L7" s="1708">
        <f>+'9 kult.'!D67</f>
        <v>3854333</v>
      </c>
      <c r="M7" s="1709">
        <f>+L7/K7*100</f>
        <v>88.181295512454014</v>
      </c>
    </row>
    <row r="8" spans="1:14" ht="30" customHeight="1" x14ac:dyDescent="0.35">
      <c r="A8" s="1670" t="s">
        <v>137</v>
      </c>
      <c r="B8" s="1671"/>
      <c r="C8" s="1671"/>
      <c r="D8" s="1674">
        <f>+'3 bev.részl'!F116</f>
        <v>1618</v>
      </c>
      <c r="E8" s="1674">
        <f>+'3 bev.részl'!G116</f>
        <v>174522</v>
      </c>
      <c r="F8" s="1674">
        <f>+'3 bev.részl'!H116</f>
        <v>65847</v>
      </c>
      <c r="G8" s="1675">
        <f t="shared" si="0"/>
        <v>37.729913707154402</v>
      </c>
      <c r="H8" s="1670" t="s">
        <v>65</v>
      </c>
      <c r="I8" s="1710"/>
      <c r="J8" s="1708">
        <f>+'10 szoc.'!B36</f>
        <v>2380385</v>
      </c>
      <c r="K8" s="1708">
        <f>+'10 szoc.'!C36</f>
        <v>2701367</v>
      </c>
      <c r="L8" s="1708">
        <f>+'10 szoc.'!D36</f>
        <v>2587010</v>
      </c>
      <c r="M8" s="1709">
        <f t="shared" ref="M8:M21" si="1">+L8/K8*100</f>
        <v>95.766698860243721</v>
      </c>
    </row>
    <row r="9" spans="1:14" ht="30" customHeight="1" x14ac:dyDescent="0.35">
      <c r="A9" s="1670" t="s">
        <v>76</v>
      </c>
      <c r="B9" s="1671"/>
      <c r="C9" s="1671"/>
      <c r="D9" s="1674">
        <f>+'3 bev.részl'!F63</f>
        <v>13271000</v>
      </c>
      <c r="E9" s="1674">
        <f>+'3 bev.részl'!G63</f>
        <v>13653268</v>
      </c>
      <c r="F9" s="1674">
        <f>+'3 bev.részl'!H63</f>
        <v>13653008</v>
      </c>
      <c r="G9" s="1675">
        <f t="shared" si="0"/>
        <v>99.998095694012605</v>
      </c>
      <c r="H9" s="1670" t="s">
        <v>72</v>
      </c>
      <c r="I9" s="1710"/>
      <c r="J9" s="1708">
        <f>+'11 eü.'!B21</f>
        <v>951288</v>
      </c>
      <c r="K9" s="1708">
        <f>+'11 eü.'!C21</f>
        <v>1179028</v>
      </c>
      <c r="L9" s="1708">
        <f>+'11 eü.'!D21</f>
        <v>941003</v>
      </c>
      <c r="M9" s="1709">
        <f t="shared" si="1"/>
        <v>79.811760195686617</v>
      </c>
    </row>
    <row r="10" spans="1:14" ht="30" customHeight="1" x14ac:dyDescent="0.35">
      <c r="A10" s="1670" t="s">
        <v>300</v>
      </c>
      <c r="B10" s="1671"/>
      <c r="C10" s="1671"/>
      <c r="D10" s="1674">
        <f>+'3 bev.részl'!F129</f>
        <v>1860785</v>
      </c>
      <c r="E10" s="1674">
        <f>+'3 bev.részl'!G129</f>
        <v>2529692</v>
      </c>
      <c r="F10" s="1674">
        <f>+'3 bev.részl'!H129</f>
        <v>2480553</v>
      </c>
      <c r="G10" s="1675">
        <f t="shared" si="0"/>
        <v>98.057510558597656</v>
      </c>
      <c r="H10" s="1670" t="s">
        <v>298</v>
      </c>
      <c r="I10" s="1710"/>
      <c r="J10" s="1708">
        <f>+'12 Gyerm.'!B11</f>
        <v>1717112</v>
      </c>
      <c r="K10" s="1708">
        <f>+'12 Gyerm.'!C11</f>
        <v>1782408</v>
      </c>
      <c r="L10" s="1708">
        <f>+'12 Gyerm.'!D11</f>
        <v>1759237</v>
      </c>
      <c r="M10" s="1709">
        <f t="shared" si="1"/>
        <v>98.700017055578755</v>
      </c>
    </row>
    <row r="11" spans="1:14" ht="30" customHeight="1" x14ac:dyDescent="0.35">
      <c r="A11" s="1668"/>
      <c r="B11" s="1676"/>
      <c r="C11" s="1676"/>
      <c r="D11" s="1672"/>
      <c r="E11" s="1672"/>
      <c r="F11" s="1672"/>
      <c r="G11" s="1677"/>
      <c r="H11" s="1670" t="s">
        <v>299</v>
      </c>
      <c r="I11" s="1707"/>
      <c r="J11" s="1708">
        <f>+'13 egyéb'!B100</f>
        <v>11656288</v>
      </c>
      <c r="K11" s="1708">
        <f>+'13 egyéb'!C100</f>
        <v>12862677</v>
      </c>
      <c r="L11" s="1708">
        <f>+'13 egyéb'!D100</f>
        <v>12623108</v>
      </c>
      <c r="M11" s="1709">
        <f t="shared" si="1"/>
        <v>98.137487243129868</v>
      </c>
    </row>
    <row r="12" spans="1:14" ht="30" customHeight="1" x14ac:dyDescent="0.35">
      <c r="A12" s="1668"/>
      <c r="B12" s="1676"/>
      <c r="C12" s="1676"/>
      <c r="D12" s="1672"/>
      <c r="E12" s="1672"/>
      <c r="F12" s="1672"/>
      <c r="G12" s="1678"/>
      <c r="H12" s="1670" t="s">
        <v>168</v>
      </c>
      <c r="I12" s="1711"/>
      <c r="J12" s="1708">
        <f>+'14 sport'!B27</f>
        <v>995977</v>
      </c>
      <c r="K12" s="1708">
        <f>+'14 sport'!C27</f>
        <v>1123662</v>
      </c>
      <c r="L12" s="1708">
        <f>+'14 sport'!D27</f>
        <v>1091095</v>
      </c>
      <c r="M12" s="1709">
        <f t="shared" si="1"/>
        <v>97.10170852088973</v>
      </c>
    </row>
    <row r="13" spans="1:14" ht="30" customHeight="1" x14ac:dyDescent="0.35">
      <c r="A13" s="1668"/>
      <c r="B13" s="1679"/>
      <c r="C13" s="1676"/>
      <c r="D13" s="1672"/>
      <c r="E13" s="1672"/>
      <c r="F13" s="1672"/>
      <c r="G13" s="1678"/>
      <c r="H13" s="1670" t="s">
        <v>138</v>
      </c>
      <c r="I13" s="1712"/>
      <c r="J13" s="1708">
        <f>+'15 város.ü.,körny'!F29</f>
        <v>1813200</v>
      </c>
      <c r="K13" s="1708">
        <f>+'15 város.ü.,körny'!G29</f>
        <v>2110410</v>
      </c>
      <c r="L13" s="1708">
        <f>+'15 város.ü.,körny'!H29</f>
        <v>1849377</v>
      </c>
      <c r="M13" s="1709">
        <f t="shared" si="1"/>
        <v>87.631171194222929</v>
      </c>
    </row>
    <row r="14" spans="1:14" ht="30" customHeight="1" x14ac:dyDescent="0.35">
      <c r="A14" s="1668"/>
      <c r="B14" s="1679"/>
      <c r="C14" s="1676"/>
      <c r="D14" s="1672"/>
      <c r="E14" s="1672"/>
      <c r="F14" s="1672"/>
      <c r="G14" s="1678"/>
      <c r="H14" s="1670" t="s">
        <v>164</v>
      </c>
      <c r="I14" s="1712"/>
      <c r="J14" s="1708">
        <f>+'16 út-híd'!B33</f>
        <v>919000</v>
      </c>
      <c r="K14" s="1708">
        <f>+'16 út-híd'!C33</f>
        <v>1286480</v>
      </c>
      <c r="L14" s="1708">
        <f>+'16 út-híd'!D33</f>
        <v>952371</v>
      </c>
      <c r="M14" s="1709">
        <f t="shared" si="1"/>
        <v>74.02921149182265</v>
      </c>
    </row>
    <row r="15" spans="1:14" ht="30" customHeight="1" x14ac:dyDescent="0.35">
      <c r="A15" s="1668"/>
      <c r="B15" s="1679"/>
      <c r="C15" s="1676"/>
      <c r="D15" s="1672"/>
      <c r="E15" s="1672"/>
      <c r="F15" s="1672"/>
      <c r="G15" s="1678"/>
      <c r="H15" s="1713" t="s">
        <v>50</v>
      </c>
      <c r="I15" s="1676"/>
      <c r="J15" s="1705"/>
      <c r="K15" s="1705"/>
      <c r="L15" s="1705"/>
      <c r="M15" s="1714"/>
    </row>
    <row r="16" spans="1:14" ht="23.25" x14ac:dyDescent="0.35">
      <c r="A16" s="1668"/>
      <c r="B16" s="1679"/>
      <c r="C16" s="1676"/>
      <c r="D16" s="1672"/>
      <c r="E16" s="1672"/>
      <c r="F16" s="1672"/>
      <c r="G16" s="1678"/>
      <c r="H16" s="1713"/>
      <c r="I16" s="1676" t="s">
        <v>578</v>
      </c>
      <c r="J16" s="1705"/>
      <c r="K16" s="1705">
        <v>447127</v>
      </c>
      <c r="L16" s="1705"/>
      <c r="M16" s="1715">
        <f t="shared" si="1"/>
        <v>0</v>
      </c>
      <c r="N16" s="346"/>
    </row>
    <row r="17" spans="1:13" ht="30" customHeight="1" x14ac:dyDescent="0.35">
      <c r="A17" s="1680"/>
      <c r="B17" s="1669"/>
      <c r="C17" s="1669"/>
      <c r="D17" s="1672"/>
      <c r="E17" s="1672"/>
      <c r="F17" s="1672"/>
      <c r="G17" s="1678"/>
      <c r="H17" s="1676"/>
      <c r="I17" s="1671" t="s">
        <v>185</v>
      </c>
      <c r="J17" s="1674">
        <v>142713</v>
      </c>
      <c r="K17" s="1674">
        <v>0</v>
      </c>
      <c r="L17" s="1674"/>
      <c r="M17" s="1709"/>
    </row>
    <row r="18" spans="1:13" ht="30" customHeight="1" x14ac:dyDescent="0.35">
      <c r="A18" s="1680"/>
      <c r="B18" s="1669"/>
      <c r="C18" s="1669"/>
      <c r="D18" s="1672"/>
      <c r="E18" s="1672"/>
      <c r="F18" s="1672"/>
      <c r="G18" s="1678"/>
      <c r="H18" s="1676"/>
      <c r="I18" s="1716" t="s">
        <v>191</v>
      </c>
      <c r="J18" s="1674">
        <v>4597</v>
      </c>
      <c r="K18" s="1674">
        <v>0</v>
      </c>
      <c r="L18" s="1674"/>
      <c r="M18" s="1709"/>
    </row>
    <row r="19" spans="1:13" ht="30" customHeight="1" x14ac:dyDescent="0.35">
      <c r="A19" s="1680"/>
      <c r="B19" s="1669"/>
      <c r="C19" s="1669"/>
      <c r="D19" s="1672"/>
      <c r="E19" s="1672"/>
      <c r="F19" s="1672"/>
      <c r="G19" s="1678"/>
      <c r="H19" s="1676"/>
      <c r="I19" s="1716" t="s">
        <v>419</v>
      </c>
      <c r="J19" s="1717">
        <v>311954</v>
      </c>
      <c r="K19" s="1717">
        <v>0</v>
      </c>
      <c r="L19" s="1718"/>
      <c r="M19" s="1709"/>
    </row>
    <row r="20" spans="1:13" ht="30" customHeight="1" x14ac:dyDescent="0.35">
      <c r="A20" s="1680"/>
      <c r="B20" s="1669"/>
      <c r="C20" s="1669"/>
      <c r="D20" s="1672"/>
      <c r="E20" s="1672"/>
      <c r="F20" s="1672"/>
      <c r="G20" s="1678"/>
      <c r="H20" s="1676"/>
      <c r="I20" s="1716" t="s">
        <v>392</v>
      </c>
      <c r="J20" s="1717"/>
      <c r="K20" s="1717"/>
      <c r="L20" s="1718"/>
      <c r="M20" s="1709"/>
    </row>
    <row r="21" spans="1:13" ht="30" customHeight="1" x14ac:dyDescent="0.35">
      <c r="A21" s="1680"/>
      <c r="B21" s="1669"/>
      <c r="C21" s="1669"/>
      <c r="D21" s="1672"/>
      <c r="E21" s="1672"/>
      <c r="F21" s="1672"/>
      <c r="G21" s="1678"/>
      <c r="H21" s="1676"/>
      <c r="I21" s="1716" t="s">
        <v>497</v>
      </c>
      <c r="J21" s="1717">
        <v>116000</v>
      </c>
      <c r="K21" s="1719">
        <v>79010</v>
      </c>
      <c r="L21" s="1718"/>
      <c r="M21" s="1709">
        <f t="shared" si="1"/>
        <v>0</v>
      </c>
    </row>
    <row r="22" spans="1:13" ht="30" customHeight="1" x14ac:dyDescent="0.35">
      <c r="A22" s="1680"/>
      <c r="B22" s="1669"/>
      <c r="C22" s="1669"/>
      <c r="D22" s="1672"/>
      <c r="E22" s="1672"/>
      <c r="F22" s="1672"/>
      <c r="G22" s="1678"/>
      <c r="H22" s="1676"/>
      <c r="I22" s="1720" t="s">
        <v>328</v>
      </c>
      <c r="J22" s="1717"/>
      <c r="K22" s="1717"/>
      <c r="L22" s="1718"/>
      <c r="M22" s="1709"/>
    </row>
    <row r="23" spans="1:13" ht="30" customHeight="1" x14ac:dyDescent="0.35">
      <c r="A23" s="1680"/>
      <c r="B23" s="1669"/>
      <c r="C23" s="1669"/>
      <c r="D23" s="1672"/>
      <c r="E23" s="1672"/>
      <c r="F23" s="1672"/>
      <c r="G23" s="1678"/>
      <c r="H23" s="1676"/>
      <c r="I23" s="1720" t="s">
        <v>369</v>
      </c>
      <c r="J23" s="1717"/>
      <c r="K23" s="1717"/>
      <c r="L23" s="1674"/>
      <c r="M23" s="1709"/>
    </row>
    <row r="24" spans="1:13" ht="54.75" customHeight="1" thickBot="1" x14ac:dyDescent="0.4">
      <c r="A24" s="1681"/>
      <c r="B24" s="1676"/>
      <c r="C24" s="1679"/>
      <c r="D24" s="1672"/>
      <c r="E24" s="1672"/>
      <c r="F24" s="1672"/>
      <c r="G24" s="1678"/>
      <c r="H24" s="1679"/>
      <c r="I24" s="1720" t="s">
        <v>420</v>
      </c>
      <c r="J24" s="1672"/>
      <c r="K24" s="1672"/>
      <c r="L24" s="1672"/>
      <c r="M24" s="1709"/>
    </row>
    <row r="25" spans="1:13" ht="30" customHeight="1" thickBot="1" x14ac:dyDescent="0.4">
      <c r="A25" s="1682"/>
      <c r="B25" s="1683"/>
      <c r="C25" s="1684"/>
      <c r="D25" s="1685"/>
      <c r="E25" s="1685"/>
      <c r="F25" s="1685"/>
      <c r="G25" s="1686"/>
      <c r="H25" s="1721" t="s">
        <v>139</v>
      </c>
      <c r="I25" s="1690"/>
      <c r="J25" s="1722">
        <f>SUM(J17:J24)</f>
        <v>575264</v>
      </c>
      <c r="K25" s="1722">
        <f>SUM(K16:K24)</f>
        <v>526137</v>
      </c>
      <c r="L25" s="1722">
        <f>SUM(L17:L24)</f>
        <v>0</v>
      </c>
      <c r="M25" s="1723">
        <f>+L25/K25*100</f>
        <v>0</v>
      </c>
    </row>
    <row r="26" spans="1:13" ht="30" customHeight="1" thickBot="1" x14ac:dyDescent="0.4">
      <c r="A26" s="1871" t="s">
        <v>140</v>
      </c>
      <c r="B26" s="1872"/>
      <c r="C26" s="1873"/>
      <c r="D26" s="1687">
        <f>SUM(D6:D25)</f>
        <v>26651109</v>
      </c>
      <c r="E26" s="1687">
        <f>SUM(E6:E25)</f>
        <v>28852789</v>
      </c>
      <c r="F26" s="1687">
        <f>SUM(F6:F25)</f>
        <v>28480103</v>
      </c>
      <c r="G26" s="1688">
        <f>+F26/E26*100</f>
        <v>98.708318977413242</v>
      </c>
      <c r="H26" s="1874" t="s">
        <v>167</v>
      </c>
      <c r="I26" s="1875"/>
      <c r="J26" s="1724">
        <f>+J25+J14+J13+J12+J11+J10+J9+J8+J7+J6</f>
        <v>29488676</v>
      </c>
      <c r="K26" s="1724">
        <f>+K25+K14+K13+K12+K11+K10+K9+K8+K7+K6</f>
        <v>33401979</v>
      </c>
      <c r="L26" s="1724">
        <f>+L25+L14+L13+L12+L11+L10+L9+L8+L7+L6</f>
        <v>30880137</v>
      </c>
      <c r="M26" s="1725">
        <f>+L26/K26*100</f>
        <v>92.450022197786538</v>
      </c>
    </row>
    <row r="27" spans="1:13" ht="18.75" customHeight="1" thickBot="1" x14ac:dyDescent="0.4">
      <c r="A27" s="1330"/>
      <c r="B27" s="1330"/>
      <c r="C27" s="1330"/>
      <c r="D27" s="1330"/>
      <c r="E27" s="1330"/>
      <c r="F27" s="1330"/>
      <c r="G27" s="1330"/>
      <c r="H27" s="1330"/>
      <c r="I27" s="1330"/>
      <c r="J27" s="1329"/>
      <c r="K27" s="1329"/>
      <c r="L27" s="1329"/>
      <c r="M27" s="1805" t="s">
        <v>14</v>
      </c>
    </row>
    <row r="28" spans="1:13" ht="24.75" customHeight="1" x14ac:dyDescent="0.35">
      <c r="A28" s="1726"/>
      <c r="B28" s="1699"/>
      <c r="C28" s="1699" t="s">
        <v>222</v>
      </c>
      <c r="D28" s="1870" t="s">
        <v>496</v>
      </c>
      <c r="E28" s="1870"/>
      <c r="F28" s="1692" t="s">
        <v>272</v>
      </c>
      <c r="G28" s="1727" t="s">
        <v>83</v>
      </c>
      <c r="H28" s="1773"/>
      <c r="I28" s="1699" t="s">
        <v>141</v>
      </c>
      <c r="J28" s="1870" t="s">
        <v>496</v>
      </c>
      <c r="K28" s="1870"/>
      <c r="L28" s="1692" t="s">
        <v>272</v>
      </c>
      <c r="M28" s="1774" t="s">
        <v>83</v>
      </c>
    </row>
    <row r="29" spans="1:13" ht="24" customHeight="1" x14ac:dyDescent="0.35">
      <c r="A29" s="1728"/>
      <c r="B29" s="1729"/>
      <c r="C29" s="1729"/>
      <c r="D29" s="1730" t="s">
        <v>169</v>
      </c>
      <c r="E29" s="1730" t="s">
        <v>81</v>
      </c>
      <c r="F29" s="1731" t="s">
        <v>82</v>
      </c>
      <c r="G29" s="1732" t="s">
        <v>84</v>
      </c>
      <c r="H29" s="1775"/>
      <c r="I29" s="1729"/>
      <c r="J29" s="1730" t="s">
        <v>169</v>
      </c>
      <c r="K29" s="1730" t="s">
        <v>81</v>
      </c>
      <c r="L29" s="1731" t="s">
        <v>82</v>
      </c>
      <c r="M29" s="1776" t="s">
        <v>84</v>
      </c>
    </row>
    <row r="30" spans="1:13" ht="18.75" customHeight="1" thickBot="1" x14ac:dyDescent="0.4">
      <c r="A30" s="1733"/>
      <c r="B30" s="1734"/>
      <c r="C30" s="1734"/>
      <c r="D30" s="1735"/>
      <c r="E30" s="1735"/>
      <c r="F30" s="1735"/>
      <c r="G30" s="1736"/>
      <c r="H30" s="1777"/>
      <c r="I30" s="1778"/>
      <c r="J30" s="1735"/>
      <c r="K30" s="1735"/>
      <c r="L30" s="1735"/>
      <c r="M30" s="1779"/>
    </row>
    <row r="31" spans="1:13" ht="30" customHeight="1" x14ac:dyDescent="0.35">
      <c r="A31" s="1737" t="s">
        <v>148</v>
      </c>
      <c r="B31" s="1738"/>
      <c r="C31" s="1739"/>
      <c r="D31" s="1672">
        <f>+'17 fbev.'!C19</f>
        <v>289491</v>
      </c>
      <c r="E31" s="1672">
        <f>+'17 fbev.'!D19</f>
        <v>413931</v>
      </c>
      <c r="F31" s="1672">
        <f>+'17 fbev.'!E19</f>
        <v>413931</v>
      </c>
      <c r="G31" s="1740">
        <f t="shared" ref="G31:G34" si="2">+F31/E31*100</f>
        <v>100</v>
      </c>
      <c r="H31" s="1713" t="s">
        <v>142</v>
      </c>
      <c r="I31" s="1704"/>
      <c r="J31" s="1747"/>
      <c r="K31" s="1747"/>
      <c r="L31" s="1747"/>
      <c r="M31" s="1780"/>
    </row>
    <row r="32" spans="1:13" ht="30" customHeight="1" x14ac:dyDescent="0.35">
      <c r="A32" s="1741" t="s">
        <v>143</v>
      </c>
      <c r="B32" s="1712"/>
      <c r="C32" s="1742"/>
      <c r="D32" s="1674">
        <f>+'17 fbev.'!C13</f>
        <v>0</v>
      </c>
      <c r="E32" s="1674">
        <f>+'17 fbev.'!D13</f>
        <v>568871</v>
      </c>
      <c r="F32" s="1674">
        <f>+'17 fbev.'!E13</f>
        <v>568871</v>
      </c>
      <c r="G32" s="1743">
        <f t="shared" si="2"/>
        <v>100</v>
      </c>
      <c r="H32" s="1781" t="s">
        <v>10</v>
      </c>
      <c r="I32" s="1782"/>
      <c r="J32" s="1783">
        <f>+'8 okt.'!B37</f>
        <v>0</v>
      </c>
      <c r="K32" s="1783">
        <f>+'8 okt.'!C37</f>
        <v>140574</v>
      </c>
      <c r="L32" s="1783">
        <f>+'8 okt.'!D37</f>
        <v>81601</v>
      </c>
      <c r="M32" s="1715">
        <f t="shared" ref="M32:M37" si="3">+L32/K32*100</f>
        <v>58.048430008394156</v>
      </c>
    </row>
    <row r="33" spans="1:13" ht="30" customHeight="1" x14ac:dyDescent="0.35">
      <c r="A33" s="1741" t="s">
        <v>144</v>
      </c>
      <c r="B33" s="1742"/>
      <c r="C33" s="1742"/>
      <c r="D33" s="1674">
        <f>+'17 fbev.'!C26</f>
        <v>10000</v>
      </c>
      <c r="E33" s="1674">
        <f>+'17 fbev.'!D26</f>
        <v>117349</v>
      </c>
      <c r="F33" s="1674">
        <f>+'17 fbev.'!E26</f>
        <v>25110</v>
      </c>
      <c r="G33" s="1743">
        <f t="shared" si="2"/>
        <v>21.397711101074574</v>
      </c>
      <c r="H33" s="1670" t="s">
        <v>457</v>
      </c>
      <c r="I33" s="1784"/>
      <c r="J33" s="1708">
        <f>+'9 kult.'!B77</f>
        <v>0</v>
      </c>
      <c r="K33" s="1708">
        <f>+'9 kult.'!C77</f>
        <v>109827</v>
      </c>
      <c r="L33" s="1708">
        <f>+'9 kult.'!D77</f>
        <v>101888</v>
      </c>
      <c r="M33" s="1709">
        <f t="shared" si="3"/>
        <v>92.77135859123895</v>
      </c>
    </row>
    <row r="34" spans="1:13" ht="30" customHeight="1" x14ac:dyDescent="0.35">
      <c r="A34" s="1744" t="s">
        <v>301</v>
      </c>
      <c r="B34" s="1745"/>
      <c r="C34" s="1745"/>
      <c r="D34" s="1708">
        <f>'17 fbev.'!C40</f>
        <v>250</v>
      </c>
      <c r="E34" s="1708">
        <f>'17 fbev.'!D40</f>
        <v>52191</v>
      </c>
      <c r="F34" s="1708">
        <f>'17 fbev.'!E40</f>
        <v>52191</v>
      </c>
      <c r="G34" s="1743">
        <f t="shared" si="2"/>
        <v>100</v>
      </c>
      <c r="H34" s="1670" t="s">
        <v>65</v>
      </c>
      <c r="I34" s="1784"/>
      <c r="J34" s="1708">
        <f>+'10 szoc.'!B41</f>
        <v>0</v>
      </c>
      <c r="K34" s="1708">
        <f>+'10 szoc.'!C41</f>
        <v>109880</v>
      </c>
      <c r="L34" s="1708">
        <f>+'10 szoc.'!D41</f>
        <v>83366</v>
      </c>
      <c r="M34" s="1709">
        <f t="shared" si="3"/>
        <v>75.870040043684014</v>
      </c>
    </row>
    <row r="35" spans="1:13" ht="30" customHeight="1" x14ac:dyDescent="0.35">
      <c r="A35" s="1746"/>
      <c r="B35" s="1739"/>
      <c r="C35" s="1739"/>
      <c r="D35" s="1747"/>
      <c r="E35" s="1747"/>
      <c r="F35" s="1747"/>
      <c r="G35" s="1748"/>
      <c r="H35" s="1670" t="s">
        <v>72</v>
      </c>
      <c r="I35" s="1784"/>
      <c r="J35" s="1708">
        <f>+'11 eü.'!B26</f>
        <v>2028</v>
      </c>
      <c r="K35" s="1708">
        <f>+'11 eü.'!C26</f>
        <v>6403</v>
      </c>
      <c r="L35" s="1708">
        <f>+'11 eü.'!D26</f>
        <v>3487</v>
      </c>
      <c r="M35" s="1709">
        <f t="shared" si="3"/>
        <v>54.458847415274093</v>
      </c>
    </row>
    <row r="36" spans="1:13" ht="30" customHeight="1" x14ac:dyDescent="0.35">
      <c r="A36" s="1746"/>
      <c r="B36" s="1739"/>
      <c r="C36" s="1739"/>
      <c r="D36" s="1747"/>
      <c r="E36" s="1747"/>
      <c r="F36" s="1747"/>
      <c r="G36" s="1748"/>
      <c r="H36" s="1670" t="s">
        <v>302</v>
      </c>
      <c r="I36" s="1784"/>
      <c r="J36" s="1708">
        <f>+'12 Gyerm.'!B16</f>
        <v>0</v>
      </c>
      <c r="K36" s="1708">
        <f>+'12 Gyerm.'!C16</f>
        <v>82564</v>
      </c>
      <c r="L36" s="1708">
        <f>+'12 Gyerm.'!D16</f>
        <v>70069</v>
      </c>
      <c r="M36" s="1709">
        <f t="shared" si="3"/>
        <v>84.866285548180812</v>
      </c>
    </row>
    <row r="37" spans="1:13" ht="30" customHeight="1" thickBot="1" x14ac:dyDescent="0.4">
      <c r="A37" s="1749"/>
      <c r="B37" s="1750"/>
      <c r="C37" s="1750"/>
      <c r="D37" s="1747"/>
      <c r="E37" s="1747"/>
      <c r="F37" s="1747"/>
      <c r="G37" s="1748"/>
      <c r="H37" s="1670" t="s">
        <v>299</v>
      </c>
      <c r="I37" s="1784"/>
      <c r="J37" s="1708">
        <f>+'13 egyéb'!B107</f>
        <v>150150</v>
      </c>
      <c r="K37" s="1708">
        <f>+'13 egyéb'!C107</f>
        <v>228713</v>
      </c>
      <c r="L37" s="1708">
        <f>+'13 egyéb'!D107</f>
        <v>156477</v>
      </c>
      <c r="M37" s="1709">
        <f t="shared" si="3"/>
        <v>68.416312146664154</v>
      </c>
    </row>
    <row r="38" spans="1:13" ht="30" customHeight="1" thickBot="1" x14ac:dyDescent="0.4">
      <c r="A38" s="1749"/>
      <c r="B38" s="1750"/>
      <c r="C38" s="1750"/>
      <c r="D38" s="1747"/>
      <c r="E38" s="1747"/>
      <c r="F38" s="1747"/>
      <c r="G38" s="1751"/>
      <c r="H38" s="1785" t="s">
        <v>145</v>
      </c>
      <c r="I38" s="1786"/>
      <c r="J38" s="1787">
        <f>SUM(J31:J37)</f>
        <v>152178</v>
      </c>
      <c r="K38" s="1787">
        <f>SUM(K31:K37)</f>
        <v>677961</v>
      </c>
      <c r="L38" s="1787">
        <f>SUM(L31:L37)</f>
        <v>496888</v>
      </c>
      <c r="M38" s="1725">
        <f>+L38/K38*100</f>
        <v>73.291531518774676</v>
      </c>
    </row>
    <row r="39" spans="1:13" ht="30" customHeight="1" x14ac:dyDescent="0.35">
      <c r="A39" s="1668"/>
      <c r="B39" s="1679"/>
      <c r="C39" s="1679"/>
      <c r="D39" s="1672"/>
      <c r="E39" s="1672"/>
      <c r="F39" s="1672"/>
      <c r="G39" s="1678"/>
      <c r="H39" s="1676" t="s">
        <v>74</v>
      </c>
      <c r="I39" s="1738"/>
      <c r="J39" s="1672">
        <f>+'18 fkia.'!C13</f>
        <v>0</v>
      </c>
      <c r="K39" s="1672">
        <f>+'18 fkia.'!D13</f>
        <v>138023</v>
      </c>
      <c r="L39" s="1672">
        <f>+'18 fkia.'!E13</f>
        <v>54162</v>
      </c>
      <c r="M39" s="1709">
        <f t="shared" ref="M39:M45" si="4">+L39/K39*100</f>
        <v>39.241285872644418</v>
      </c>
    </row>
    <row r="40" spans="1:13" ht="30" customHeight="1" x14ac:dyDescent="0.35">
      <c r="A40" s="1668"/>
      <c r="B40" s="1679"/>
      <c r="C40" s="1679"/>
      <c r="D40" s="1672"/>
      <c r="E40" s="1672"/>
      <c r="F40" s="1672"/>
      <c r="G40" s="1678"/>
      <c r="H40" s="1670" t="s">
        <v>31</v>
      </c>
      <c r="I40" s="1712"/>
      <c r="J40" s="1674">
        <f>+'18 fkia.'!C17</f>
        <v>0</v>
      </c>
      <c r="K40" s="1674">
        <f>+'18 fkia.'!D17</f>
        <v>0</v>
      </c>
      <c r="L40" s="1674">
        <f>+'18 fkia.'!E17</f>
        <v>0</v>
      </c>
      <c r="M40" s="1709"/>
    </row>
    <row r="41" spans="1:13" ht="30" customHeight="1" x14ac:dyDescent="0.35">
      <c r="A41" s="1668"/>
      <c r="B41" s="1679"/>
      <c r="C41" s="1679"/>
      <c r="D41" s="1672"/>
      <c r="E41" s="1672"/>
      <c r="F41" s="1672"/>
      <c r="G41" s="1678"/>
      <c r="H41" s="1670" t="s">
        <v>153</v>
      </c>
      <c r="I41" s="1711"/>
      <c r="J41" s="1674">
        <f>+'18 fkia.'!C21</f>
        <v>0</v>
      </c>
      <c r="K41" s="1674">
        <f>+'18 fkia.'!D21</f>
        <v>0</v>
      </c>
      <c r="L41" s="1674">
        <f>+'18 fkia.'!E21</f>
        <v>0</v>
      </c>
      <c r="M41" s="1709"/>
    </row>
    <row r="42" spans="1:13" ht="30" customHeight="1" x14ac:dyDescent="0.35">
      <c r="A42" s="1752"/>
      <c r="B42" s="1753"/>
      <c r="C42" s="1679"/>
      <c r="D42" s="1672"/>
      <c r="E42" s="1672"/>
      <c r="F42" s="1672"/>
      <c r="G42" s="1678"/>
      <c r="H42" s="1670" t="s">
        <v>157</v>
      </c>
      <c r="I42" s="1711"/>
      <c r="J42" s="1674">
        <f>+'18 fkia.'!C25</f>
        <v>15400</v>
      </c>
      <c r="K42" s="1674">
        <f>+'18 fkia.'!D25</f>
        <v>123683</v>
      </c>
      <c r="L42" s="1674">
        <f>+'18 fkia.'!E25</f>
        <v>123683</v>
      </c>
      <c r="M42" s="1709">
        <f t="shared" si="4"/>
        <v>100</v>
      </c>
    </row>
    <row r="43" spans="1:13" ht="30" customHeight="1" x14ac:dyDescent="0.35">
      <c r="A43" s="1752"/>
      <c r="B43" s="1753"/>
      <c r="C43" s="1754"/>
      <c r="D43" s="1672"/>
      <c r="E43" s="1672"/>
      <c r="F43" s="1672"/>
      <c r="G43" s="1678"/>
      <c r="H43" s="1670" t="s">
        <v>162</v>
      </c>
      <c r="I43" s="1711"/>
      <c r="J43" s="1674">
        <f>+'18 fkia.'!C70</f>
        <v>1332661</v>
      </c>
      <c r="K43" s="1674">
        <f>+'18 fkia.'!D70</f>
        <v>2819113</v>
      </c>
      <c r="L43" s="1674">
        <f>+'18 fkia.'!E70</f>
        <v>2214433</v>
      </c>
      <c r="M43" s="1709">
        <f t="shared" si="4"/>
        <v>78.550700167038357</v>
      </c>
    </row>
    <row r="44" spans="1:13" ht="30" customHeight="1" x14ac:dyDescent="0.35">
      <c r="A44" s="1755"/>
      <c r="B44" s="1756"/>
      <c r="C44" s="1754"/>
      <c r="D44" s="1672"/>
      <c r="E44" s="1672"/>
      <c r="F44" s="1672"/>
      <c r="G44" s="1678"/>
      <c r="H44" s="1670" t="s">
        <v>458</v>
      </c>
      <c r="I44" s="1671"/>
      <c r="J44" s="1674">
        <f>+'18 fkia.'!C73</f>
        <v>0</v>
      </c>
      <c r="K44" s="1674">
        <f>+'18 fkia.'!D73</f>
        <v>0</v>
      </c>
      <c r="L44" s="1674">
        <f>+'18 fkia.'!E73</f>
        <v>0</v>
      </c>
      <c r="M44" s="1709"/>
    </row>
    <row r="45" spans="1:13" ht="30" customHeight="1" x14ac:dyDescent="0.35">
      <c r="A45" s="1755"/>
      <c r="B45" s="1756"/>
      <c r="C45" s="1754"/>
      <c r="D45" s="1672"/>
      <c r="E45" s="1672"/>
      <c r="F45" s="1672"/>
      <c r="G45" s="1678"/>
      <c r="H45" s="1676" t="s">
        <v>52</v>
      </c>
      <c r="I45" s="1676"/>
      <c r="J45" s="1672">
        <f>+'18 fkia.'!C74</f>
        <v>10000</v>
      </c>
      <c r="K45" s="1672">
        <f>+'18 fkia.'!D74</f>
        <v>10000</v>
      </c>
      <c r="L45" s="1672">
        <f>+'18 fkia.'!E74</f>
        <v>1157</v>
      </c>
      <c r="M45" s="1709">
        <f t="shared" si="4"/>
        <v>11.57</v>
      </c>
    </row>
    <row r="46" spans="1:13" ht="30" customHeight="1" thickBot="1" x14ac:dyDescent="0.4">
      <c r="A46" s="1755"/>
      <c r="B46" s="1756"/>
      <c r="C46" s="1754"/>
      <c r="D46" s="1672"/>
      <c r="E46" s="1672"/>
      <c r="F46" s="1672"/>
      <c r="G46" s="1678"/>
      <c r="H46" s="1788" t="s">
        <v>146</v>
      </c>
      <c r="I46" s="1789"/>
      <c r="J46" s="1790">
        <f>SUM(J39:J45)</f>
        <v>1358061</v>
      </c>
      <c r="K46" s="1790">
        <f>SUM(K39:K45)</f>
        <v>3090819</v>
      </c>
      <c r="L46" s="1790">
        <f>SUM(L39:L45)</f>
        <v>2393435</v>
      </c>
      <c r="M46" s="1791">
        <f>+L46/K46*100</f>
        <v>77.436918823133936</v>
      </c>
    </row>
    <row r="47" spans="1:13" ht="30" customHeight="1" thickBot="1" x14ac:dyDescent="0.4">
      <c r="A47" s="1874" t="s">
        <v>268</v>
      </c>
      <c r="B47" s="1876"/>
      <c r="C47" s="1875"/>
      <c r="D47" s="1724">
        <f>SUM(D31:D46)</f>
        <v>299741</v>
      </c>
      <c r="E47" s="1724">
        <f>SUM(E31:E46)</f>
        <v>1152342</v>
      </c>
      <c r="F47" s="1724">
        <f>SUM(F31:F46)</f>
        <v>1060103</v>
      </c>
      <c r="G47" s="1725">
        <f>+F47/E47*100</f>
        <v>91.995518691499569</v>
      </c>
      <c r="H47" s="1874" t="s">
        <v>269</v>
      </c>
      <c r="I47" s="1875"/>
      <c r="J47" s="1724">
        <f>+J46+J38</f>
        <v>1510239</v>
      </c>
      <c r="K47" s="1724">
        <f>+K46+K38</f>
        <v>3768780</v>
      </c>
      <c r="L47" s="1724">
        <f>+L46+L38</f>
        <v>2890323</v>
      </c>
      <c r="M47" s="1725">
        <f>+L47/K47*100</f>
        <v>76.691210418225523</v>
      </c>
    </row>
    <row r="48" spans="1:13" ht="18.75" customHeight="1" thickBot="1" x14ac:dyDescent="0.4">
      <c r="A48" s="1757"/>
      <c r="B48" s="1757"/>
      <c r="C48" s="1690"/>
      <c r="D48" s="1758"/>
      <c r="E48" s="1758"/>
      <c r="F48" s="1758"/>
      <c r="G48" s="1690"/>
      <c r="H48" s="1699"/>
      <c r="I48" s="1699"/>
      <c r="J48" s="1758"/>
      <c r="K48" s="1758"/>
      <c r="L48" s="1758"/>
      <c r="M48" s="1792"/>
    </row>
    <row r="49" spans="1:14" ht="30" customHeight="1" x14ac:dyDescent="0.35">
      <c r="A49" s="1759" t="s">
        <v>69</v>
      </c>
      <c r="B49" s="1722"/>
      <c r="C49" s="1760"/>
      <c r="D49" s="1722"/>
      <c r="E49" s="1722"/>
      <c r="F49" s="1722"/>
      <c r="G49" s="1761"/>
      <c r="H49" s="1691" t="s">
        <v>69</v>
      </c>
      <c r="I49" s="1793"/>
      <c r="J49" s="1722"/>
      <c r="K49" s="1722"/>
      <c r="L49" s="1722"/>
      <c r="M49" s="1794"/>
    </row>
    <row r="50" spans="1:14" ht="30" customHeight="1" x14ac:dyDescent="0.35">
      <c r="A50" s="1680"/>
      <c r="B50" s="1756"/>
      <c r="C50" s="1762" t="s">
        <v>30</v>
      </c>
      <c r="D50" s="1763">
        <v>2446031</v>
      </c>
      <c r="E50" s="1763">
        <v>5078776</v>
      </c>
      <c r="F50" s="1717">
        <v>5078776</v>
      </c>
      <c r="G50" s="1764">
        <f t="shared" ref="G50:G55" si="5">+F50/E50*100</f>
        <v>100</v>
      </c>
      <c r="H50" s="1795"/>
      <c r="I50" s="1796"/>
      <c r="J50" s="1717"/>
      <c r="K50" s="1717"/>
      <c r="L50" s="1717"/>
      <c r="M50" s="1715"/>
      <c r="N50" s="48"/>
    </row>
    <row r="51" spans="1:14" ht="30" customHeight="1" x14ac:dyDescent="0.35">
      <c r="A51" s="1680"/>
      <c r="B51" s="1756"/>
      <c r="C51" s="1765" t="s">
        <v>258</v>
      </c>
      <c r="D51" s="1763">
        <v>82019</v>
      </c>
      <c r="E51" s="1763">
        <v>0</v>
      </c>
      <c r="F51" s="1717"/>
      <c r="G51" s="1764"/>
      <c r="H51" s="1797" t="s">
        <v>327</v>
      </c>
      <c r="I51" s="1798"/>
      <c r="J51" s="1674">
        <v>120750</v>
      </c>
      <c r="K51" s="1674">
        <v>120750</v>
      </c>
      <c r="L51" s="1674">
        <v>120750</v>
      </c>
      <c r="M51" s="1715">
        <f>+L51/K51*100</f>
        <v>100</v>
      </c>
      <c r="N51" s="51"/>
    </row>
    <row r="52" spans="1:14" ht="50.25" customHeight="1" x14ac:dyDescent="0.35">
      <c r="A52" s="1680"/>
      <c r="B52" s="1756"/>
      <c r="C52" s="1765" t="s">
        <v>498</v>
      </c>
      <c r="D52" s="1763">
        <v>400000</v>
      </c>
      <c r="E52" s="1763">
        <v>0</v>
      </c>
      <c r="F52" s="1717"/>
      <c r="G52" s="1764"/>
      <c r="H52" s="1741" t="s">
        <v>588</v>
      </c>
      <c r="I52" s="1712"/>
      <c r="J52" s="1674"/>
      <c r="K52" s="1674">
        <v>2500000</v>
      </c>
      <c r="L52" s="1674">
        <v>2500000</v>
      </c>
      <c r="M52" s="1715">
        <f>+L52/K52*100</f>
        <v>100</v>
      </c>
    </row>
    <row r="53" spans="1:14" ht="60.75" customHeight="1" x14ac:dyDescent="0.35">
      <c r="A53" s="1680"/>
      <c r="B53" s="1756"/>
      <c r="C53" s="1762" t="s">
        <v>577</v>
      </c>
      <c r="D53" s="1763"/>
      <c r="E53" s="1763">
        <v>281004</v>
      </c>
      <c r="F53" s="1717">
        <v>281004</v>
      </c>
      <c r="G53" s="1764">
        <f t="shared" si="5"/>
        <v>100</v>
      </c>
      <c r="H53" s="1882" t="s">
        <v>579</v>
      </c>
      <c r="I53" s="1883"/>
      <c r="J53" s="1674"/>
      <c r="K53" s="1674">
        <v>281004</v>
      </c>
      <c r="L53" s="1674"/>
      <c r="M53" s="1715">
        <f>+L53/K53*100</f>
        <v>0</v>
      </c>
      <c r="N53" s="48"/>
    </row>
    <row r="54" spans="1:14" ht="58.5" customHeight="1" x14ac:dyDescent="0.35">
      <c r="A54" s="1680"/>
      <c r="B54" s="1756"/>
      <c r="C54" s="1762" t="s">
        <v>450</v>
      </c>
      <c r="D54" s="1763">
        <v>257267</v>
      </c>
      <c r="E54" s="1763">
        <v>4917</v>
      </c>
      <c r="F54" s="1717">
        <v>4917</v>
      </c>
      <c r="G54" s="1764">
        <f t="shared" si="5"/>
        <v>100</v>
      </c>
      <c r="H54" s="1882" t="s">
        <v>459</v>
      </c>
      <c r="I54" s="1883"/>
      <c r="J54" s="1674">
        <v>257267</v>
      </c>
      <c r="K54" s="1674">
        <v>262184</v>
      </c>
      <c r="L54" s="1674">
        <f>257267+4917</f>
        <v>262184</v>
      </c>
      <c r="M54" s="1709">
        <f>+L54/K54*100</f>
        <v>100</v>
      </c>
      <c r="N54" s="48"/>
    </row>
    <row r="55" spans="1:14" ht="30" customHeight="1" x14ac:dyDescent="0.35">
      <c r="A55" s="1680"/>
      <c r="B55" s="1756"/>
      <c r="C55" s="1765" t="s">
        <v>259</v>
      </c>
      <c r="D55" s="1763"/>
      <c r="E55" s="1763">
        <v>1966978</v>
      </c>
      <c r="F55" s="1717">
        <v>1966978</v>
      </c>
      <c r="G55" s="1764">
        <f t="shared" si="5"/>
        <v>100</v>
      </c>
      <c r="H55" s="1741"/>
      <c r="I55" s="1799"/>
      <c r="J55" s="1674"/>
      <c r="K55" s="1674"/>
      <c r="L55" s="1674"/>
      <c r="M55" s="1715"/>
      <c r="N55" s="48"/>
    </row>
    <row r="56" spans="1:14" ht="30" customHeight="1" x14ac:dyDescent="0.35">
      <c r="A56" s="1680"/>
      <c r="B56" s="1756"/>
      <c r="C56" s="1765" t="s">
        <v>260</v>
      </c>
      <c r="D56" s="1763">
        <v>840765</v>
      </c>
      <c r="E56" s="1763">
        <v>0</v>
      </c>
      <c r="F56" s="1717"/>
      <c r="G56" s="1764"/>
      <c r="H56" s="1741"/>
      <c r="I56" s="1799"/>
      <c r="J56" s="1674"/>
      <c r="K56" s="1674"/>
      <c r="L56" s="1674"/>
      <c r="M56" s="1715"/>
    </row>
    <row r="57" spans="1:14" ht="53.25" customHeight="1" x14ac:dyDescent="0.35">
      <c r="A57" s="1680"/>
      <c r="B57" s="1756"/>
      <c r="C57" s="1765" t="s">
        <v>499</v>
      </c>
      <c r="D57" s="1763">
        <v>400000</v>
      </c>
      <c r="E57" s="1763">
        <v>0</v>
      </c>
      <c r="F57" s="1717"/>
      <c r="G57" s="1764"/>
      <c r="H57" s="1741"/>
      <c r="I57" s="1799"/>
      <c r="J57" s="1674"/>
      <c r="K57" s="1674"/>
      <c r="L57" s="1674"/>
      <c r="M57" s="1715"/>
    </row>
    <row r="58" spans="1:14" ht="30" customHeight="1" x14ac:dyDescent="0.35">
      <c r="A58" s="1680"/>
      <c r="B58" s="1756"/>
      <c r="C58" s="1765" t="s">
        <v>212</v>
      </c>
      <c r="D58" s="1766"/>
      <c r="E58" s="1766">
        <v>497891</v>
      </c>
      <c r="F58" s="1674">
        <v>497891</v>
      </c>
      <c r="G58" s="1764">
        <f>+F58/E58*100</f>
        <v>100</v>
      </c>
      <c r="H58" s="1741"/>
      <c r="I58" s="1799"/>
      <c r="J58" s="1674"/>
      <c r="K58" s="1674"/>
      <c r="L58" s="1674"/>
      <c r="M58" s="1715"/>
    </row>
    <row r="59" spans="1:14" ht="57.75" customHeight="1" thickBot="1" x14ac:dyDescent="0.4">
      <c r="A59" s="1680"/>
      <c r="B59" s="1756"/>
      <c r="C59" s="1767" t="s">
        <v>589</v>
      </c>
      <c r="D59" s="1674"/>
      <c r="E59" s="1674">
        <v>2500000</v>
      </c>
      <c r="F59" s="1674">
        <v>2500000</v>
      </c>
      <c r="G59" s="1764">
        <f>+F59/E59*100</f>
        <v>100</v>
      </c>
      <c r="H59" s="1676"/>
      <c r="I59" s="1729"/>
      <c r="J59" s="1672"/>
      <c r="K59" s="1672"/>
      <c r="L59" s="1672"/>
      <c r="M59" s="1800"/>
    </row>
    <row r="60" spans="1:14" ht="30" customHeight="1" thickBot="1" x14ac:dyDescent="0.4">
      <c r="A60" s="1879" t="s">
        <v>70</v>
      </c>
      <c r="B60" s="1880"/>
      <c r="C60" s="1881"/>
      <c r="D60" s="1724">
        <f>SUM(D49:D59)</f>
        <v>4426082</v>
      </c>
      <c r="E60" s="1724">
        <f>SUM(E49:E59)</f>
        <v>10329566</v>
      </c>
      <c r="F60" s="1724">
        <f>SUM(F49:F59)</f>
        <v>10329566</v>
      </c>
      <c r="G60" s="1725">
        <f>+F60/E60*100</f>
        <v>100</v>
      </c>
      <c r="H60" s="1877" t="s">
        <v>70</v>
      </c>
      <c r="I60" s="1878"/>
      <c r="J60" s="1724">
        <f>SUM(J51:J59)</f>
        <v>378017</v>
      </c>
      <c r="K60" s="1724">
        <f>SUM(K49:K59)</f>
        <v>3163938</v>
      </c>
      <c r="L60" s="1724">
        <f>SUM(L49:L59)</f>
        <v>2882934</v>
      </c>
      <c r="M60" s="1725">
        <f>+L60/K60*100</f>
        <v>91.11853645678265</v>
      </c>
    </row>
    <row r="61" spans="1:14" ht="30" customHeight="1" x14ac:dyDescent="0.35">
      <c r="A61" s="1680"/>
      <c r="B61" s="1757"/>
      <c r="C61" s="1757"/>
      <c r="D61" s="1768"/>
      <c r="E61" s="1768"/>
      <c r="F61" s="1768"/>
      <c r="G61" s="1769"/>
      <c r="H61" s="1801"/>
      <c r="I61" s="1699"/>
      <c r="J61" s="1722"/>
      <c r="K61" s="1722"/>
      <c r="L61" s="1722"/>
      <c r="M61" s="1794"/>
    </row>
    <row r="62" spans="1:14" ht="30" customHeight="1" thickBot="1" x14ac:dyDescent="0.4">
      <c r="A62" s="1770"/>
      <c r="B62" s="1702"/>
      <c r="C62" s="1702"/>
      <c r="D62" s="1771"/>
      <c r="E62" s="1771"/>
      <c r="F62" s="1771"/>
      <c r="G62" s="1772"/>
      <c r="H62" s="1802"/>
      <c r="I62" s="1702"/>
      <c r="J62" s="1771"/>
      <c r="K62" s="1771"/>
      <c r="L62" s="1771"/>
      <c r="M62" s="1803"/>
    </row>
    <row r="63" spans="1:14" ht="24" thickBot="1" x14ac:dyDescent="0.4">
      <c r="A63" s="1879" t="s">
        <v>271</v>
      </c>
      <c r="B63" s="1880"/>
      <c r="C63" s="1881"/>
      <c r="D63" s="1724">
        <f>+D60+D47+D26</f>
        <v>31376932</v>
      </c>
      <c r="E63" s="1724">
        <f>+E60+E47+E26</f>
        <v>40334697</v>
      </c>
      <c r="F63" s="1724">
        <f>+F60+F47+F26</f>
        <v>39869772</v>
      </c>
      <c r="G63" s="1725">
        <f>+F63/E63*100</f>
        <v>98.847332360027394</v>
      </c>
      <c r="H63" s="1877" t="s">
        <v>270</v>
      </c>
      <c r="I63" s="1878"/>
      <c r="J63" s="1724">
        <f>+J60+J47+J26</f>
        <v>31376932</v>
      </c>
      <c r="K63" s="1724">
        <f>+K60+K47+K26</f>
        <v>40334697</v>
      </c>
      <c r="L63" s="1724">
        <f>+L60+L47+L26</f>
        <v>36653394</v>
      </c>
      <c r="M63" s="1725">
        <f>+L63/K63*100</f>
        <v>90.873111058699664</v>
      </c>
    </row>
    <row r="64" spans="1:14" ht="15" customHeight="1" x14ac:dyDescent="0.25">
      <c r="J64" s="14"/>
    </row>
    <row r="194" spans="7:7" ht="15" customHeight="1" x14ac:dyDescent="0.25">
      <c r="G194" s="21">
        <f>+E194-F194-H194-H195-H196-H197-H198-H199-H200</f>
        <v>0</v>
      </c>
    </row>
  </sheetData>
  <mergeCells count="15">
    <mergeCell ref="A47:C47"/>
    <mergeCell ref="H47:I47"/>
    <mergeCell ref="H60:I60"/>
    <mergeCell ref="H63:I63"/>
    <mergeCell ref="A63:C63"/>
    <mergeCell ref="A60:C60"/>
    <mergeCell ref="H53:I53"/>
    <mergeCell ref="H54:I54"/>
    <mergeCell ref="A2:M2"/>
    <mergeCell ref="D4:E4"/>
    <mergeCell ref="J4:K4"/>
    <mergeCell ref="D28:E28"/>
    <mergeCell ref="J28:K28"/>
    <mergeCell ref="A26:C26"/>
    <mergeCell ref="H26:I26"/>
  </mergeCells>
  <phoneticPr fontId="0" type="noConversion"/>
  <printOptions horizontalCentered="1" verticalCentered="1"/>
  <pageMargins left="0" right="0" top="0.39370078740157483" bottom="0" header="0" footer="0"/>
  <pageSetup paperSize="9" scale="44" orientation="landscape" r:id="rId1"/>
  <headerFooter alignWithMargins="0">
    <oddHeader xml:space="preserve">&amp;L
&amp;R&amp;"-,Félkövér"&amp;11 &amp;22 2. melléklet a .../2025. (........) önkormányzati rendelethez
</oddHeader>
  </headerFooter>
  <rowBreaks count="1" manualBreakCount="1">
    <brk id="26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EFF5-1621-49DA-AF41-E87D6A69A4F4}">
  <sheetPr>
    <tabColor theme="0"/>
  </sheetPr>
  <dimension ref="A1:C23"/>
  <sheetViews>
    <sheetView zoomScaleNormal="100" zoomScaleSheetLayoutView="75" workbookViewId="0">
      <selection activeCell="I30" sqref="I30"/>
    </sheetView>
  </sheetViews>
  <sheetFormatPr defaultColWidth="10.6640625" defaultRowHeight="12.75" x14ac:dyDescent="0.2"/>
  <cols>
    <col min="1" max="1" width="11" style="535" customWidth="1"/>
    <col min="2" max="2" width="108.1640625" style="535" customWidth="1"/>
    <col min="3" max="3" width="31.83203125" style="559" customWidth="1"/>
    <col min="4" max="4" width="15.33203125" style="535" customWidth="1"/>
    <col min="5" max="16384" width="10.6640625" style="535"/>
  </cols>
  <sheetData>
    <row r="1" spans="1:3" ht="18.75" x14ac:dyDescent="0.3">
      <c r="A1" s="1988" t="s">
        <v>655</v>
      </c>
      <c r="B1" s="1988"/>
      <c r="C1" s="1988"/>
    </row>
    <row r="2" spans="1:3" ht="18.75" x14ac:dyDescent="0.3">
      <c r="A2" s="1988" t="s">
        <v>593</v>
      </c>
      <c r="B2" s="1988"/>
      <c r="C2" s="1988"/>
    </row>
    <row r="3" spans="1:3" ht="18.75" x14ac:dyDescent="0.3">
      <c r="A3" s="1988" t="s">
        <v>1115</v>
      </c>
      <c r="B3" s="1988"/>
      <c r="C3" s="1988"/>
    </row>
    <row r="4" spans="1:3" ht="15.75" thickBot="1" x14ac:dyDescent="0.3">
      <c r="A4" s="536"/>
      <c r="B4" s="536"/>
      <c r="C4" s="537" t="s">
        <v>14</v>
      </c>
    </row>
    <row r="5" spans="1:3" ht="15.75" thickBot="1" x14ac:dyDescent="0.3">
      <c r="A5" s="538" t="s">
        <v>656</v>
      </c>
      <c r="B5" s="538" t="s">
        <v>28</v>
      </c>
      <c r="C5" s="538" t="s">
        <v>657</v>
      </c>
    </row>
    <row r="6" spans="1:3" ht="40.5" customHeight="1" x14ac:dyDescent="0.25">
      <c r="A6" s="539" t="s">
        <v>154</v>
      </c>
      <c r="B6" s="540" t="s">
        <v>658</v>
      </c>
      <c r="C6" s="541">
        <v>53206</v>
      </c>
    </row>
    <row r="7" spans="1:3" ht="31.5" customHeight="1" x14ac:dyDescent="0.25">
      <c r="A7" s="542" t="s">
        <v>32</v>
      </c>
      <c r="B7" s="543" t="s">
        <v>659</v>
      </c>
      <c r="C7" s="544">
        <v>0</v>
      </c>
    </row>
    <row r="8" spans="1:3" ht="33.75" customHeight="1" x14ac:dyDescent="0.25">
      <c r="A8" s="545" t="s">
        <v>155</v>
      </c>
      <c r="B8" s="546" t="s">
        <v>660</v>
      </c>
      <c r="C8" s="547"/>
    </row>
    <row r="9" spans="1:3" ht="15.95" customHeight="1" x14ac:dyDescent="0.25">
      <c r="A9" s="542"/>
      <c r="B9" s="536" t="s">
        <v>661</v>
      </c>
      <c r="C9" s="544">
        <v>72</v>
      </c>
    </row>
    <row r="10" spans="1:3" ht="15.95" customHeight="1" x14ac:dyDescent="0.25">
      <c r="A10" s="542"/>
      <c r="B10" s="536" t="s">
        <v>662</v>
      </c>
      <c r="C10" s="544">
        <v>11</v>
      </c>
    </row>
    <row r="11" spans="1:3" ht="15.95" customHeight="1" x14ac:dyDescent="0.25">
      <c r="A11" s="542"/>
      <c r="B11" s="536" t="s">
        <v>663</v>
      </c>
      <c r="C11" s="544">
        <v>0</v>
      </c>
    </row>
    <row r="12" spans="1:3" ht="15.95" customHeight="1" x14ac:dyDescent="0.25">
      <c r="A12" s="542"/>
      <c r="B12" s="548" t="s">
        <v>664</v>
      </c>
      <c r="C12" s="544">
        <v>67217</v>
      </c>
    </row>
    <row r="13" spans="1:3" ht="15.95" customHeight="1" x14ac:dyDescent="0.25">
      <c r="A13" s="542"/>
      <c r="B13" s="536" t="s">
        <v>665</v>
      </c>
      <c r="C13" s="544">
        <v>50</v>
      </c>
    </row>
    <row r="14" spans="1:3" ht="31.5" customHeight="1" x14ac:dyDescent="0.25">
      <c r="A14" s="549" t="s">
        <v>156</v>
      </c>
      <c r="B14" s="550" t="s">
        <v>666</v>
      </c>
      <c r="C14" s="551">
        <v>61465</v>
      </c>
    </row>
    <row r="15" spans="1:3" ht="30.75" customHeight="1" thickBot="1" x14ac:dyDescent="0.3">
      <c r="A15" s="549" t="s">
        <v>158</v>
      </c>
      <c r="B15" s="550" t="s">
        <v>667</v>
      </c>
      <c r="C15" s="551">
        <v>14523</v>
      </c>
    </row>
    <row r="16" spans="1:3" ht="23.25" customHeight="1" thickBot="1" x14ac:dyDescent="0.3">
      <c r="A16" s="552"/>
      <c r="B16" s="553" t="s">
        <v>668</v>
      </c>
      <c r="C16" s="554">
        <f>SUM(C6:C15)</f>
        <v>196544</v>
      </c>
    </row>
    <row r="17" spans="1:3" ht="15" x14ac:dyDescent="0.25">
      <c r="A17" s="536"/>
      <c r="B17" s="536"/>
      <c r="C17" s="536"/>
    </row>
    <row r="18" spans="1:3" ht="15" x14ac:dyDescent="0.25">
      <c r="A18" s="555"/>
      <c r="B18" s="556" t="s">
        <v>669</v>
      </c>
      <c r="C18" s="536"/>
    </row>
    <row r="19" spans="1:3" ht="46.5" customHeight="1" x14ac:dyDescent="0.25">
      <c r="A19" s="536"/>
      <c r="B19" s="557" t="s">
        <v>670</v>
      </c>
      <c r="C19" s="558"/>
    </row>
    <row r="20" spans="1:3" ht="15" x14ac:dyDescent="0.25">
      <c r="A20" s="536"/>
      <c r="B20" s="558" t="s">
        <v>671</v>
      </c>
      <c r="C20" s="558"/>
    </row>
    <row r="21" spans="1:3" ht="15" x14ac:dyDescent="0.25">
      <c r="A21" s="536"/>
      <c r="B21" s="558" t="s">
        <v>672</v>
      </c>
      <c r="C21" s="558"/>
    </row>
    <row r="22" spans="1:3" ht="15" x14ac:dyDescent="0.25">
      <c r="A22" s="536"/>
      <c r="B22" s="558" t="s">
        <v>673</v>
      </c>
      <c r="C22" s="558"/>
    </row>
    <row r="23" spans="1:3" ht="15" x14ac:dyDescent="0.25">
      <c r="A23" s="536"/>
      <c r="B23" s="558"/>
      <c r="C23" s="558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>
    <oddHeader>&amp;R&amp;"Arial CE,Félkövér"&amp;10 &amp;14 &amp;"-,Félkövér" &amp;11 20. melléklet a …/2025. (…….)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3EC6-C80E-4335-915E-FF78689C5F65}">
  <sheetPr>
    <tabColor theme="0"/>
  </sheetPr>
  <dimension ref="A1:F51"/>
  <sheetViews>
    <sheetView zoomScaleNormal="100" workbookViewId="0">
      <selection activeCell="I30" sqref="I30"/>
    </sheetView>
  </sheetViews>
  <sheetFormatPr defaultColWidth="10.6640625" defaultRowHeight="14.25" x14ac:dyDescent="0.2"/>
  <cols>
    <col min="1" max="1" width="6.5" style="560" customWidth="1"/>
    <col min="2" max="2" width="141.1640625" style="560" customWidth="1"/>
    <col min="3" max="4" width="31.83203125" style="560" customWidth="1"/>
    <col min="5" max="5" width="16.83203125" style="560" customWidth="1"/>
    <col min="6" max="6" width="15.5" style="560" customWidth="1"/>
    <col min="7" max="11" width="10.6640625" style="560" customWidth="1"/>
    <col min="12" max="16384" width="10.6640625" style="560"/>
  </cols>
  <sheetData>
    <row r="1" spans="2:4" ht="18.75" x14ac:dyDescent="0.3">
      <c r="B1" s="1987" t="s">
        <v>674</v>
      </c>
      <c r="C1" s="1987"/>
      <c r="D1" s="1987"/>
    </row>
    <row r="2" spans="2:4" ht="18.75" x14ac:dyDescent="0.3">
      <c r="B2" s="1977" t="s">
        <v>1116</v>
      </c>
      <c r="C2" s="1977"/>
      <c r="D2" s="1977"/>
    </row>
    <row r="3" spans="2:4" ht="15" x14ac:dyDescent="0.25">
      <c r="B3" s="1984"/>
      <c r="C3" s="1984"/>
      <c r="D3" s="1984"/>
    </row>
    <row r="4" spans="2:4" ht="15.75" thickBot="1" x14ac:dyDescent="0.3">
      <c r="B4" s="94"/>
      <c r="C4" s="95"/>
      <c r="D4" s="537" t="s">
        <v>14</v>
      </c>
    </row>
    <row r="5" spans="2:4" s="425" customFormat="1" ht="25.5" customHeight="1" x14ac:dyDescent="0.3">
      <c r="B5" s="1290" t="s">
        <v>594</v>
      </c>
      <c r="C5" s="1291" t="s">
        <v>496</v>
      </c>
      <c r="D5" s="197" t="s">
        <v>496</v>
      </c>
    </row>
    <row r="6" spans="2:4" s="425" customFormat="1" ht="26.25" customHeight="1" thickBot="1" x14ac:dyDescent="0.35">
      <c r="B6" s="1292"/>
      <c r="C6" s="114" t="s">
        <v>81</v>
      </c>
      <c r="D6" s="115" t="s">
        <v>82</v>
      </c>
    </row>
    <row r="7" spans="2:4" s="8" customFormat="1" ht="18.95" customHeight="1" x14ac:dyDescent="0.3">
      <c r="B7" s="1296" t="s">
        <v>675</v>
      </c>
      <c r="C7" s="561"/>
      <c r="D7" s="562"/>
    </row>
    <row r="8" spans="2:4" s="8" customFormat="1" ht="27" customHeight="1" x14ac:dyDescent="0.3">
      <c r="B8" s="1654" t="s">
        <v>582</v>
      </c>
      <c r="C8" s="820">
        <v>8545</v>
      </c>
      <c r="D8" s="821">
        <v>8545</v>
      </c>
    </row>
    <row r="9" spans="2:4" s="8" customFormat="1" ht="27" customHeight="1" x14ac:dyDescent="0.3">
      <c r="B9" s="1655" t="s">
        <v>440</v>
      </c>
      <c r="C9" s="816">
        <v>9180</v>
      </c>
      <c r="D9" s="817">
        <v>9180</v>
      </c>
    </row>
    <row r="10" spans="2:4" s="8" customFormat="1" ht="27" customHeight="1" x14ac:dyDescent="0.3">
      <c r="B10" s="1656" t="s">
        <v>442</v>
      </c>
      <c r="C10" s="816">
        <v>39937</v>
      </c>
      <c r="D10" s="817">
        <v>9020</v>
      </c>
    </row>
    <row r="11" spans="2:4" s="8" customFormat="1" ht="27" customHeight="1" x14ac:dyDescent="0.3">
      <c r="B11" s="1656" t="s">
        <v>501</v>
      </c>
      <c r="C11" s="816">
        <v>1618</v>
      </c>
      <c r="D11" s="817"/>
    </row>
    <row r="12" spans="2:4" s="8" customFormat="1" ht="27" customHeight="1" x14ac:dyDescent="0.3">
      <c r="B12" s="1656" t="s">
        <v>584</v>
      </c>
      <c r="C12" s="816">
        <v>44415</v>
      </c>
      <c r="D12" s="817"/>
    </row>
    <row r="13" spans="2:4" s="8" customFormat="1" ht="27" customHeight="1" x14ac:dyDescent="0.3">
      <c r="B13" s="1657" t="s">
        <v>568</v>
      </c>
      <c r="C13" s="816">
        <v>5370</v>
      </c>
      <c r="D13" s="817"/>
    </row>
    <row r="14" spans="2:4" s="8" customFormat="1" ht="27" customHeight="1" x14ac:dyDescent="0.3">
      <c r="B14" s="1440" t="s">
        <v>569</v>
      </c>
      <c r="C14" s="816">
        <v>6355</v>
      </c>
      <c r="D14" s="817"/>
    </row>
    <row r="15" spans="2:4" s="8" customFormat="1" ht="27" customHeight="1" x14ac:dyDescent="0.3">
      <c r="B15" s="1658" t="s">
        <v>522</v>
      </c>
      <c r="C15" s="816">
        <v>19936</v>
      </c>
      <c r="D15" s="817">
        <v>19936</v>
      </c>
    </row>
    <row r="16" spans="2:4" s="8" customFormat="1" ht="24" customHeight="1" x14ac:dyDescent="0.3">
      <c r="B16" s="1661" t="s">
        <v>676</v>
      </c>
      <c r="C16" s="818"/>
      <c r="D16" s="819"/>
    </row>
    <row r="17" spans="2:6" s="8" customFormat="1" ht="41.25" customHeight="1" x14ac:dyDescent="0.3">
      <c r="B17" s="1659" t="s">
        <v>400</v>
      </c>
      <c r="C17" s="820">
        <v>568871</v>
      </c>
      <c r="D17" s="821">
        <v>568871</v>
      </c>
      <c r="E17" s="55"/>
    </row>
    <row r="18" spans="2:6" s="8" customFormat="1" ht="24.75" customHeight="1" thickBot="1" x14ac:dyDescent="0.35">
      <c r="B18" s="1660" t="s">
        <v>677</v>
      </c>
      <c r="C18" s="822">
        <f>SUM(C8:C17)</f>
        <v>704227</v>
      </c>
      <c r="D18" s="823">
        <f>SUM(D8:D17)</f>
        <v>615552</v>
      </c>
      <c r="E18" s="9"/>
      <c r="F18" s="9"/>
    </row>
    <row r="19" spans="2:6" s="8" customFormat="1" ht="16.5" thickBot="1" x14ac:dyDescent="0.3">
      <c r="B19" s="88"/>
      <c r="C19" s="88"/>
      <c r="D19" s="77"/>
      <c r="E19" s="9"/>
      <c r="F19" s="9"/>
    </row>
    <row r="20" spans="2:6" s="425" customFormat="1" ht="26.25" customHeight="1" x14ac:dyDescent="0.3">
      <c r="B20" s="1290" t="s">
        <v>598</v>
      </c>
      <c r="C20" s="1291" t="s">
        <v>496</v>
      </c>
      <c r="D20" s="197" t="s">
        <v>496</v>
      </c>
    </row>
    <row r="21" spans="2:6" s="425" customFormat="1" ht="25.5" customHeight="1" thickBot="1" x14ac:dyDescent="0.35">
      <c r="B21" s="1294"/>
      <c r="C21" s="114" t="s">
        <v>81</v>
      </c>
      <c r="D21" s="115" t="s">
        <v>82</v>
      </c>
    </row>
    <row r="22" spans="2:6" s="8" customFormat="1" ht="21" customHeight="1" x14ac:dyDescent="0.3">
      <c r="B22" s="1296" t="s">
        <v>675</v>
      </c>
      <c r="C22" s="563"/>
      <c r="D22" s="564"/>
    </row>
    <row r="23" spans="2:6" s="8" customFormat="1" ht="21" customHeight="1" x14ac:dyDescent="0.25">
      <c r="B23" s="1412" t="s">
        <v>678</v>
      </c>
      <c r="C23" s="565"/>
      <c r="D23" s="566"/>
    </row>
    <row r="24" spans="2:6" s="8" customFormat="1" ht="27" customHeight="1" x14ac:dyDescent="0.3">
      <c r="B24" s="1475" t="s">
        <v>515</v>
      </c>
      <c r="C24" s="109">
        <v>1618</v>
      </c>
      <c r="D24" s="814">
        <v>1618</v>
      </c>
    </row>
    <row r="25" spans="2:6" s="8" customFormat="1" ht="27" customHeight="1" x14ac:dyDescent="0.3">
      <c r="B25" s="403" t="s">
        <v>547</v>
      </c>
      <c r="C25" s="226">
        <v>22841</v>
      </c>
      <c r="D25" s="815">
        <v>744</v>
      </c>
    </row>
    <row r="26" spans="2:6" s="8" customFormat="1" ht="27" customHeight="1" x14ac:dyDescent="0.3">
      <c r="B26" s="1505" t="s">
        <v>586</v>
      </c>
      <c r="C26" s="226">
        <v>16432</v>
      </c>
      <c r="D26" s="815">
        <v>1215</v>
      </c>
    </row>
    <row r="27" spans="2:6" s="8" customFormat="1" ht="27" customHeight="1" x14ac:dyDescent="0.3">
      <c r="B27" s="1505" t="s">
        <v>433</v>
      </c>
      <c r="C27" s="226">
        <v>20828</v>
      </c>
      <c r="D27" s="815"/>
    </row>
    <row r="28" spans="2:6" s="8" customFormat="1" ht="27" customHeight="1" x14ac:dyDescent="0.3">
      <c r="B28" s="1505" t="s">
        <v>521</v>
      </c>
      <c r="C28" s="226">
        <v>13619</v>
      </c>
      <c r="D28" s="815">
        <v>4340</v>
      </c>
      <c r="E28" s="55"/>
    </row>
    <row r="29" spans="2:6" s="8" customFormat="1" ht="27" customHeight="1" x14ac:dyDescent="0.3">
      <c r="B29" s="1505" t="s">
        <v>568</v>
      </c>
      <c r="C29" s="226">
        <v>5620</v>
      </c>
      <c r="D29" s="815">
        <v>3371</v>
      </c>
    </row>
    <row r="30" spans="2:6" s="8" customFormat="1" ht="27" customHeight="1" thickBot="1" x14ac:dyDescent="0.35">
      <c r="B30" s="1505" t="s">
        <v>569</v>
      </c>
      <c r="C30" s="226">
        <v>6355</v>
      </c>
      <c r="D30" s="815">
        <v>1353</v>
      </c>
    </row>
    <row r="31" spans="2:6" s="8" customFormat="1" ht="23.25" customHeight="1" thickBot="1" x14ac:dyDescent="0.35">
      <c r="B31" s="1295" t="s">
        <v>676</v>
      </c>
      <c r="C31" s="567"/>
      <c r="D31" s="568"/>
      <c r="E31" s="9"/>
      <c r="F31" s="9"/>
    </row>
    <row r="32" spans="2:6" s="8" customFormat="1" ht="26.25" customHeight="1" x14ac:dyDescent="0.25">
      <c r="B32" s="1662" t="s">
        <v>33</v>
      </c>
      <c r="C32" s="569"/>
      <c r="D32" s="570"/>
      <c r="E32" s="9"/>
    </row>
    <row r="33" spans="1:6" s="8" customFormat="1" ht="37.5" customHeight="1" x14ac:dyDescent="0.3">
      <c r="B33" s="1663" t="s">
        <v>400</v>
      </c>
      <c r="C33" s="807">
        <v>461738</v>
      </c>
      <c r="D33" s="808">
        <v>461656</v>
      </c>
      <c r="E33" s="55"/>
    </row>
    <row r="34" spans="1:6" s="8" customFormat="1" ht="36.75" customHeight="1" x14ac:dyDescent="0.3">
      <c r="B34" s="1474" t="s">
        <v>455</v>
      </c>
      <c r="C34" s="296">
        <v>110899</v>
      </c>
      <c r="D34" s="809"/>
      <c r="E34" s="55"/>
    </row>
    <row r="35" spans="1:6" s="8" customFormat="1" ht="39" customHeight="1" x14ac:dyDescent="0.3">
      <c r="B35" s="420" t="s">
        <v>456</v>
      </c>
      <c r="C35" s="296">
        <v>16115</v>
      </c>
      <c r="D35" s="809">
        <v>2631</v>
      </c>
      <c r="E35" s="55"/>
    </row>
    <row r="36" spans="1:6" s="8" customFormat="1" ht="27" customHeight="1" x14ac:dyDescent="0.3">
      <c r="B36" s="1667" t="s">
        <v>360</v>
      </c>
      <c r="C36" s="287">
        <v>144903</v>
      </c>
      <c r="D36" s="810">
        <v>112715</v>
      </c>
    </row>
    <row r="37" spans="1:6" s="8" customFormat="1" ht="27" customHeight="1" x14ac:dyDescent="0.3">
      <c r="B37" s="1664" t="s">
        <v>448</v>
      </c>
      <c r="C37" s="287">
        <v>148</v>
      </c>
      <c r="D37" s="811"/>
    </row>
    <row r="38" spans="1:6" s="8" customFormat="1" ht="27" customHeight="1" x14ac:dyDescent="0.3">
      <c r="B38" s="1665" t="s">
        <v>368</v>
      </c>
      <c r="C38" s="315">
        <v>79206</v>
      </c>
      <c r="D38" s="811">
        <v>79206</v>
      </c>
    </row>
    <row r="39" spans="1:6" s="8" customFormat="1" ht="27" customHeight="1" thickBot="1" x14ac:dyDescent="0.35">
      <c r="B39" s="1666" t="s">
        <v>390</v>
      </c>
      <c r="C39" s="812">
        <v>7073</v>
      </c>
      <c r="D39" s="813"/>
    </row>
    <row r="40" spans="1:6" ht="19.5" thickBot="1" x14ac:dyDescent="0.35">
      <c r="B40" s="571" t="s">
        <v>679</v>
      </c>
      <c r="C40" s="824">
        <f>SUM(C24:C39)</f>
        <v>907395</v>
      </c>
      <c r="D40" s="824">
        <f>SUM(D24:D39)</f>
        <v>668849</v>
      </c>
      <c r="E40" s="18"/>
      <c r="F40" s="54"/>
    </row>
    <row r="42" spans="1:6" s="1" customFormat="1" ht="33.75" customHeight="1" x14ac:dyDescent="0.2">
      <c r="A42" s="10"/>
    </row>
    <row r="44" spans="1:6" s="1" customFormat="1" ht="36" customHeight="1" x14ac:dyDescent="0.2">
      <c r="A44" s="10"/>
    </row>
    <row r="45" spans="1:6" s="1" customFormat="1" ht="21.75" customHeight="1" x14ac:dyDescent="0.2">
      <c r="A45" s="10"/>
    </row>
    <row r="46" spans="1:6" s="1" customFormat="1" ht="36" customHeight="1" x14ac:dyDescent="0.2">
      <c r="A46" s="10"/>
    </row>
    <row r="47" spans="1:6" s="1" customFormat="1" ht="39" customHeight="1" x14ac:dyDescent="0.2">
      <c r="A47" s="10"/>
    </row>
    <row r="48" spans="1:6" s="1" customFormat="1" ht="39" customHeight="1" x14ac:dyDescent="0.2">
      <c r="A48" s="10"/>
    </row>
    <row r="49" spans="1:4" s="1" customFormat="1" ht="36" customHeight="1" x14ac:dyDescent="0.2">
      <c r="A49" s="10"/>
    </row>
    <row r="51" spans="1:4" x14ac:dyDescent="0.2">
      <c r="C51" s="572"/>
      <c r="D51" s="572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7" pageOrder="overThenDown" orientation="portrait" r:id="rId1"/>
  <headerFooter alignWithMargins="0">
    <oddHeader>&amp;R&amp;"Arial,Félkövér"&amp;11 &amp;"Calibri,Félkövér"&amp;12 &amp;14 21. melléklet a …../2025. (…….)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0D9D-FC65-4BD0-850F-158B640C3F95}">
  <sheetPr>
    <tabColor theme="0"/>
  </sheetPr>
  <dimension ref="B1:H18"/>
  <sheetViews>
    <sheetView zoomScale="75" zoomScaleNormal="75" workbookViewId="0">
      <selection activeCell="I30" sqref="I30"/>
    </sheetView>
  </sheetViews>
  <sheetFormatPr defaultColWidth="10.6640625" defaultRowHeight="15" customHeight="1" x14ac:dyDescent="0.2"/>
  <cols>
    <col min="1" max="1" width="9.33203125" style="8" customWidth="1"/>
    <col min="2" max="2" width="7.6640625" style="8" customWidth="1"/>
    <col min="3" max="3" width="115.1640625" style="8" customWidth="1"/>
    <col min="4" max="5" width="19.1640625" style="8" customWidth="1"/>
    <col min="6" max="6" width="17.6640625" style="8" customWidth="1"/>
    <col min="7" max="8" width="15.6640625" style="8" bestFit="1" customWidth="1"/>
    <col min="9" max="16384" width="10.6640625" style="8"/>
  </cols>
  <sheetData>
    <row r="1" spans="2:8" s="573" customFormat="1" ht="24" customHeight="1" x14ac:dyDescent="0.3">
      <c r="B1" s="1989" t="s">
        <v>655</v>
      </c>
      <c r="C1" s="1989"/>
      <c r="D1" s="1989"/>
      <c r="E1" s="1989"/>
      <c r="F1" s="1989"/>
      <c r="G1" s="1989"/>
      <c r="H1" s="1989"/>
    </row>
    <row r="2" spans="2:8" s="573" customFormat="1" ht="24" customHeight="1" x14ac:dyDescent="0.3">
      <c r="B2" s="1989" t="s">
        <v>1118</v>
      </c>
      <c r="C2" s="1989"/>
      <c r="D2" s="1989"/>
      <c r="E2" s="1989"/>
      <c r="F2" s="1989"/>
      <c r="G2" s="1989"/>
      <c r="H2" s="1989"/>
    </row>
    <row r="3" spans="2:8" s="573" customFormat="1" ht="24" customHeight="1" x14ac:dyDescent="0.3">
      <c r="B3" s="1989" t="s">
        <v>680</v>
      </c>
      <c r="C3" s="1989"/>
      <c r="D3" s="1989"/>
      <c r="E3" s="1989"/>
      <c r="F3" s="1989"/>
      <c r="G3" s="1989"/>
      <c r="H3" s="1989"/>
    </row>
    <row r="4" spans="2:8" s="576" customFormat="1" ht="18.95" customHeight="1" thickBot="1" x14ac:dyDescent="0.3">
      <c r="B4" s="574"/>
      <c r="C4" s="574"/>
      <c r="D4" s="574"/>
      <c r="E4" s="574"/>
      <c r="F4" s="574"/>
      <c r="G4" s="574"/>
      <c r="H4" s="575" t="s">
        <v>14</v>
      </c>
    </row>
    <row r="5" spans="2:8" s="1293" customFormat="1" ht="18.95" customHeight="1" x14ac:dyDescent="0.25">
      <c r="B5" s="1990" t="s">
        <v>28</v>
      </c>
      <c r="C5" s="1991"/>
      <c r="D5" s="1297" t="s">
        <v>682</v>
      </c>
      <c r="E5" s="1298" t="s">
        <v>682</v>
      </c>
      <c r="F5" s="1299" t="s">
        <v>683</v>
      </c>
      <c r="G5" s="1298" t="s">
        <v>684</v>
      </c>
      <c r="H5" s="1300" t="s">
        <v>1117</v>
      </c>
    </row>
    <row r="6" spans="2:8" s="1293" customFormat="1" ht="18.95" customHeight="1" thickBot="1" x14ac:dyDescent="0.3">
      <c r="B6" s="1301"/>
      <c r="C6" s="1302"/>
      <c r="D6" s="1303" t="s">
        <v>81</v>
      </c>
      <c r="E6" s="1304" t="s">
        <v>82</v>
      </c>
      <c r="F6" s="1305" t="s">
        <v>169</v>
      </c>
      <c r="G6" s="1304" t="s">
        <v>169</v>
      </c>
      <c r="H6" s="1306" t="s">
        <v>169</v>
      </c>
    </row>
    <row r="7" spans="2:8" s="1293" customFormat="1" ht="24.75" customHeight="1" x14ac:dyDescent="0.25">
      <c r="B7" s="1307"/>
      <c r="C7" s="1308" t="s">
        <v>157</v>
      </c>
      <c r="D7" s="1309"/>
      <c r="E7" s="1310"/>
      <c r="F7" s="1311"/>
      <c r="G7" s="1312"/>
      <c r="H7" s="1313"/>
    </row>
    <row r="8" spans="2:8" s="1293" customFormat="1" ht="24.75" customHeight="1" x14ac:dyDescent="0.25">
      <c r="B8" s="1314"/>
      <c r="C8" s="1315" t="s">
        <v>685</v>
      </c>
      <c r="D8" s="1316">
        <v>108283</v>
      </c>
      <c r="E8" s="1317">
        <v>108283</v>
      </c>
      <c r="F8" s="1318">
        <v>15000</v>
      </c>
      <c r="G8" s="1317">
        <v>15000</v>
      </c>
      <c r="H8" s="1319">
        <v>15000</v>
      </c>
    </row>
    <row r="9" spans="2:8" s="1293" customFormat="1" ht="24.75" customHeight="1" thickBot="1" x14ac:dyDescent="0.3">
      <c r="B9" s="1320"/>
      <c r="C9" s="1321" t="s">
        <v>597</v>
      </c>
      <c r="D9" s="1322">
        <f>SUM(D8)</f>
        <v>108283</v>
      </c>
      <c r="E9" s="1323">
        <f>SUM(E8)</f>
        <v>108283</v>
      </c>
      <c r="F9" s="1324">
        <f>SUM(F8)</f>
        <v>15000</v>
      </c>
      <c r="G9" s="1323">
        <f>SUM(G8)</f>
        <v>15000</v>
      </c>
      <c r="H9" s="1325">
        <f>SUM(H8)</f>
        <v>15000</v>
      </c>
    </row>
    <row r="10" spans="2:8" ht="24.75" customHeight="1" x14ac:dyDescent="0.25">
      <c r="B10" s="578"/>
      <c r="C10" s="577"/>
      <c r="D10" s="579"/>
      <c r="E10" s="579"/>
      <c r="F10" s="579"/>
      <c r="G10" s="579"/>
      <c r="H10" s="579"/>
    </row>
    <row r="11" spans="2:8" s="1293" customFormat="1" ht="21.75" customHeight="1" x14ac:dyDescent="0.25">
      <c r="C11" s="1326" t="s">
        <v>686</v>
      </c>
    </row>
    <row r="12" spans="2:8" s="1293" customFormat="1" ht="18.95" customHeight="1" x14ac:dyDescent="0.25">
      <c r="C12" s="1327" t="s">
        <v>687</v>
      </c>
    </row>
    <row r="13" spans="2:8" s="1293" customFormat="1" ht="18.95" customHeight="1" x14ac:dyDescent="0.25">
      <c r="C13" s="1328" t="s">
        <v>1201</v>
      </c>
    </row>
    <row r="14" spans="2:8" s="1293" customFormat="1" ht="18.95" customHeight="1" x14ac:dyDescent="0.25">
      <c r="C14" s="1293" t="s">
        <v>688</v>
      </c>
    </row>
    <row r="15" spans="2:8" ht="18.95" customHeight="1" x14ac:dyDescent="0.2"/>
    <row r="16" spans="2:8" ht="18.95" customHeight="1" x14ac:dyDescent="0.2"/>
    <row r="17" ht="18.95" customHeight="1" x14ac:dyDescent="0.2"/>
    <row r="1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&amp;"-,Félkövér"&amp;11 &amp;12 22. melléklet a …../2025. (…….) önkormányzati rendelethez&amp;11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13DC-1671-430C-B0B3-0B9BC51742CA}">
  <sheetPr>
    <tabColor theme="0"/>
  </sheetPr>
  <dimension ref="B2:I139"/>
  <sheetViews>
    <sheetView zoomScaleNormal="100" zoomScaleSheetLayoutView="80" workbookViewId="0">
      <selection activeCell="I30" sqref="I30"/>
    </sheetView>
  </sheetViews>
  <sheetFormatPr defaultColWidth="10.6640625" defaultRowHeight="12.75" x14ac:dyDescent="0.2"/>
  <cols>
    <col min="1" max="1" width="4.6640625" style="581" customWidth="1"/>
    <col min="2" max="2" width="9.33203125" style="580" customWidth="1"/>
    <col min="3" max="3" width="10.6640625" style="581" customWidth="1"/>
    <col min="4" max="4" width="57.33203125" style="581" customWidth="1"/>
    <col min="5" max="5" width="27.33203125" style="581" customWidth="1"/>
    <col min="6" max="7" width="30.6640625" style="581" customWidth="1"/>
    <col min="8" max="8" width="17.5" style="581" bestFit="1" customWidth="1"/>
    <col min="9" max="9" width="12.33203125" style="581" bestFit="1" customWidth="1"/>
    <col min="10" max="16384" width="10.6640625" style="581"/>
  </cols>
  <sheetData>
    <row r="2" spans="2:9" ht="20.25" x14ac:dyDescent="0.3">
      <c r="G2" s="582"/>
    </row>
    <row r="4" spans="2:9" ht="17.25" customHeight="1" x14ac:dyDescent="0.3">
      <c r="B4" s="1866" t="s">
        <v>1121</v>
      </c>
      <c r="C4" s="1866"/>
      <c r="D4" s="1866"/>
      <c r="E4" s="1866"/>
      <c r="F4" s="1866"/>
      <c r="G4" s="1866"/>
    </row>
    <row r="5" spans="2:9" s="583" customFormat="1" ht="18.75" x14ac:dyDescent="0.3">
      <c r="B5" s="1999" t="s">
        <v>689</v>
      </c>
      <c r="C5" s="1999"/>
      <c r="D5" s="1999"/>
      <c r="E5" s="1999"/>
      <c r="F5" s="2000"/>
      <c r="G5" s="2000"/>
      <c r="I5" s="584"/>
    </row>
    <row r="6" spans="2:9" s="583" customFormat="1" ht="16.5" thickBot="1" x14ac:dyDescent="0.3">
      <c r="B6" s="585"/>
      <c r="C6" s="585"/>
      <c r="D6" s="585"/>
      <c r="E6" s="585"/>
      <c r="F6" s="575"/>
      <c r="G6" s="575" t="s">
        <v>14</v>
      </c>
    </row>
    <row r="7" spans="2:9" s="583" customFormat="1" ht="20.25" customHeight="1" x14ac:dyDescent="0.25">
      <c r="B7" s="586"/>
      <c r="C7" s="2001" t="s">
        <v>28</v>
      </c>
      <c r="D7" s="2002"/>
      <c r="E7" s="587"/>
      <c r="F7" s="588" t="s">
        <v>690</v>
      </c>
      <c r="G7" s="588" t="s">
        <v>1120</v>
      </c>
    </row>
    <row r="8" spans="2:9" s="583" customFormat="1" ht="16.5" customHeight="1" x14ac:dyDescent="0.25">
      <c r="B8" s="589"/>
      <c r="C8" s="589"/>
      <c r="D8" s="590"/>
      <c r="E8" s="591"/>
      <c r="F8" s="592" t="s">
        <v>691</v>
      </c>
      <c r="G8" s="592" t="s">
        <v>691</v>
      </c>
    </row>
    <row r="9" spans="2:9" s="583" customFormat="1" ht="16.5" customHeight="1" thickBot="1" x14ac:dyDescent="0.3">
      <c r="B9" s="593"/>
      <c r="C9" s="593"/>
      <c r="D9" s="594"/>
      <c r="E9" s="595"/>
      <c r="F9" s="596" t="s">
        <v>692</v>
      </c>
      <c r="G9" s="596" t="s">
        <v>1119</v>
      </c>
    </row>
    <row r="10" spans="2:9" s="583" customFormat="1" ht="16.5" customHeight="1" x14ac:dyDescent="0.25">
      <c r="B10" s="589"/>
      <c r="C10" s="589"/>
      <c r="D10" s="590"/>
      <c r="E10" s="591"/>
      <c r="F10" s="597"/>
      <c r="G10" s="597"/>
    </row>
    <row r="11" spans="2:9" s="583" customFormat="1" ht="14.25" customHeight="1" x14ac:dyDescent="0.25">
      <c r="B11" s="598"/>
      <c r="C11" s="599" t="s">
        <v>693</v>
      </c>
      <c r="D11" s="600"/>
      <c r="E11" s="601" t="s">
        <v>694</v>
      </c>
      <c r="F11" s="602">
        <v>26899</v>
      </c>
      <c r="G11" s="602">
        <v>25907</v>
      </c>
    </row>
    <row r="12" spans="2:9" s="583" customFormat="1" ht="15.75" x14ac:dyDescent="0.25">
      <c r="B12" s="598"/>
      <c r="C12" s="599"/>
      <c r="D12" s="600"/>
      <c r="E12" s="601" t="s">
        <v>695</v>
      </c>
      <c r="F12" s="602">
        <v>15973</v>
      </c>
      <c r="G12" s="602">
        <v>24258</v>
      </c>
      <c r="H12" s="603"/>
    </row>
    <row r="13" spans="2:9" s="583" customFormat="1" ht="16.5" customHeight="1" x14ac:dyDescent="0.25">
      <c r="B13" s="604" t="s">
        <v>696</v>
      </c>
      <c r="C13" s="605" t="s">
        <v>693</v>
      </c>
      <c r="D13" s="606"/>
      <c r="E13" s="607" t="s">
        <v>697</v>
      </c>
      <c r="F13" s="608">
        <f>SUM(F11:F12)</f>
        <v>42872</v>
      </c>
      <c r="G13" s="608">
        <f>SUM(G11:G12)</f>
        <v>50165</v>
      </c>
    </row>
    <row r="14" spans="2:9" s="583" customFormat="1" ht="15.6" customHeight="1" x14ac:dyDescent="0.25">
      <c r="B14" s="609"/>
      <c r="C14" s="610"/>
      <c r="D14" s="611"/>
      <c r="E14" s="591"/>
      <c r="F14" s="612"/>
      <c r="G14" s="612"/>
    </row>
    <row r="15" spans="2:9" s="583" customFormat="1" ht="15" customHeight="1" x14ac:dyDescent="0.25">
      <c r="B15" s="598"/>
      <c r="C15" s="599" t="s">
        <v>698</v>
      </c>
      <c r="D15" s="600"/>
      <c r="E15" s="601" t="s">
        <v>694</v>
      </c>
      <c r="F15" s="602">
        <v>5701</v>
      </c>
      <c r="G15" s="602">
        <v>2865</v>
      </c>
    </row>
    <row r="16" spans="2:9" s="583" customFormat="1" ht="15.75" x14ac:dyDescent="0.25">
      <c r="B16" s="598"/>
      <c r="C16" s="599"/>
      <c r="D16" s="600"/>
      <c r="E16" s="601" t="s">
        <v>695</v>
      </c>
      <c r="F16" s="602">
        <v>9771</v>
      </c>
      <c r="G16" s="602">
        <v>7367</v>
      </c>
    </row>
    <row r="17" spans="2:7" s="583" customFormat="1" ht="16.5" customHeight="1" x14ac:dyDescent="0.25">
      <c r="B17" s="604" t="s">
        <v>699</v>
      </c>
      <c r="C17" s="605" t="s">
        <v>698</v>
      </c>
      <c r="D17" s="606"/>
      <c r="E17" s="607" t="s">
        <v>697</v>
      </c>
      <c r="F17" s="608">
        <f>SUM(F15:F16)</f>
        <v>15472</v>
      </c>
      <c r="G17" s="608">
        <f>SUM(G15:G16)</f>
        <v>10232</v>
      </c>
    </row>
    <row r="18" spans="2:7" s="583" customFormat="1" ht="15.6" customHeight="1" x14ac:dyDescent="0.25">
      <c r="B18" s="609"/>
      <c r="C18" s="610"/>
      <c r="D18" s="611"/>
      <c r="E18" s="591"/>
      <c r="F18" s="612"/>
      <c r="G18" s="612"/>
    </row>
    <row r="19" spans="2:7" s="583" customFormat="1" ht="15.75" x14ac:dyDescent="0.25">
      <c r="B19" s="598"/>
      <c r="C19" s="599" t="s">
        <v>700</v>
      </c>
      <c r="D19" s="600"/>
      <c r="E19" s="601" t="s">
        <v>694</v>
      </c>
      <c r="F19" s="602">
        <f>+F11+F15</f>
        <v>32600</v>
      </c>
      <c r="G19" s="602">
        <f>+G11+G15</f>
        <v>28772</v>
      </c>
    </row>
    <row r="20" spans="2:7" s="583" customFormat="1" ht="15.75" x14ac:dyDescent="0.25">
      <c r="B20" s="598"/>
      <c r="C20" s="599"/>
      <c r="D20" s="600"/>
      <c r="E20" s="601" t="s">
        <v>695</v>
      </c>
      <c r="F20" s="602">
        <f>+F12+F16</f>
        <v>25744</v>
      </c>
      <c r="G20" s="602">
        <f>+G12+G16</f>
        <v>31625</v>
      </c>
    </row>
    <row r="21" spans="2:7" s="583" customFormat="1" ht="16.5" customHeight="1" thickBot="1" x14ac:dyDescent="0.3">
      <c r="B21" s="613" t="s">
        <v>701</v>
      </c>
      <c r="C21" s="614" t="s">
        <v>702</v>
      </c>
      <c r="D21" s="615"/>
      <c r="E21" s="616" t="s">
        <v>697</v>
      </c>
      <c r="F21" s="617">
        <f>SUM(F19:F20)</f>
        <v>58344</v>
      </c>
      <c r="G21" s="617">
        <f>SUM(G19:G20)</f>
        <v>60397</v>
      </c>
    </row>
    <row r="22" spans="2:7" s="583" customFormat="1" ht="15.6" customHeight="1" x14ac:dyDescent="0.25">
      <c r="B22" s="609"/>
      <c r="C22" s="610"/>
      <c r="D22" s="611"/>
      <c r="E22" s="610"/>
      <c r="F22" s="618"/>
      <c r="G22" s="618"/>
    </row>
    <row r="23" spans="2:7" s="583" customFormat="1" ht="14.25" customHeight="1" x14ac:dyDescent="0.25">
      <c r="B23" s="598"/>
      <c r="C23" s="599" t="s">
        <v>703</v>
      </c>
      <c r="D23" s="600"/>
      <c r="E23" s="599" t="s">
        <v>694</v>
      </c>
      <c r="F23" s="619">
        <v>5143616</v>
      </c>
      <c r="G23" s="619">
        <v>11650491</v>
      </c>
    </row>
    <row r="24" spans="2:7" s="583" customFormat="1" ht="15.75" x14ac:dyDescent="0.25">
      <c r="B24" s="598"/>
      <c r="C24" s="599"/>
      <c r="D24" s="600"/>
      <c r="E24" s="599" t="s">
        <v>695</v>
      </c>
      <c r="F24" s="619">
        <v>82740525</v>
      </c>
      <c r="G24" s="619">
        <v>77170977</v>
      </c>
    </row>
    <row r="25" spans="2:7" s="583" customFormat="1" ht="16.5" customHeight="1" x14ac:dyDescent="0.25">
      <c r="B25" s="604" t="s">
        <v>704</v>
      </c>
      <c r="C25" s="605" t="s">
        <v>705</v>
      </c>
      <c r="D25" s="606"/>
      <c r="E25" s="605" t="s">
        <v>697</v>
      </c>
      <c r="F25" s="620">
        <f>SUM(F23:F24)</f>
        <v>87884141</v>
      </c>
      <c r="G25" s="620">
        <f>SUM(G23:G24)</f>
        <v>88821468</v>
      </c>
    </row>
    <row r="26" spans="2:7" s="583" customFormat="1" ht="15.6" customHeight="1" x14ac:dyDescent="0.25">
      <c r="B26" s="609"/>
      <c r="C26" s="610"/>
      <c r="D26" s="611"/>
      <c r="E26" s="610"/>
      <c r="F26" s="621"/>
      <c r="G26" s="621"/>
    </row>
    <row r="27" spans="2:7" s="583" customFormat="1" ht="15" customHeight="1" x14ac:dyDescent="0.25">
      <c r="B27" s="598"/>
      <c r="C27" s="599" t="s">
        <v>706</v>
      </c>
      <c r="D27" s="600"/>
      <c r="E27" s="599" t="s">
        <v>694</v>
      </c>
      <c r="F27" s="619">
        <v>365104</v>
      </c>
      <c r="G27" s="619">
        <v>476305</v>
      </c>
    </row>
    <row r="28" spans="2:7" s="583" customFormat="1" ht="15.75" x14ac:dyDescent="0.25">
      <c r="B28" s="598"/>
      <c r="C28" s="599"/>
      <c r="D28" s="600"/>
      <c r="E28" s="599" t="s">
        <v>695</v>
      </c>
      <c r="F28" s="619">
        <v>2443567</v>
      </c>
      <c r="G28" s="619">
        <v>2854567</v>
      </c>
    </row>
    <row r="29" spans="2:7" s="583" customFormat="1" ht="17.25" customHeight="1" x14ac:dyDescent="0.25">
      <c r="B29" s="604" t="s">
        <v>707</v>
      </c>
      <c r="C29" s="605" t="s">
        <v>706</v>
      </c>
      <c r="D29" s="606"/>
      <c r="E29" s="605" t="s">
        <v>697</v>
      </c>
      <c r="F29" s="620">
        <f>SUM(F27:F28)</f>
        <v>2808671</v>
      </c>
      <c r="G29" s="620">
        <f>SUM(G27:G28)</f>
        <v>3330872</v>
      </c>
    </row>
    <row r="30" spans="2:7" s="583" customFormat="1" ht="15.6" customHeight="1" x14ac:dyDescent="0.25">
      <c r="B30" s="609"/>
      <c r="C30" s="610"/>
      <c r="D30" s="611"/>
      <c r="E30" s="610"/>
      <c r="F30" s="621"/>
      <c r="G30" s="621"/>
    </row>
    <row r="31" spans="2:7" s="583" customFormat="1" ht="15.75" x14ac:dyDescent="0.25">
      <c r="B31" s="598"/>
      <c r="C31" s="599" t="s">
        <v>708</v>
      </c>
      <c r="D31" s="600"/>
      <c r="E31" s="599" t="s">
        <v>694</v>
      </c>
      <c r="F31" s="619">
        <v>0</v>
      </c>
      <c r="G31" s="619">
        <v>0</v>
      </c>
    </row>
    <row r="32" spans="2:7" s="583" customFormat="1" ht="15.75" x14ac:dyDescent="0.25">
      <c r="B32" s="598"/>
      <c r="C32" s="599"/>
      <c r="D32" s="600"/>
      <c r="E32" s="599" t="s">
        <v>695</v>
      </c>
      <c r="F32" s="619">
        <v>0</v>
      </c>
      <c r="G32" s="619">
        <v>0</v>
      </c>
    </row>
    <row r="33" spans="2:8" s="583" customFormat="1" ht="16.5" customHeight="1" x14ac:dyDescent="0.25">
      <c r="B33" s="604" t="s">
        <v>709</v>
      </c>
      <c r="C33" s="605" t="s">
        <v>708</v>
      </c>
      <c r="D33" s="606"/>
      <c r="E33" s="605" t="s">
        <v>697</v>
      </c>
      <c r="F33" s="620">
        <f>SUM(F31:F32)</f>
        <v>0</v>
      </c>
      <c r="G33" s="620">
        <f>SUM(G31:G32)</f>
        <v>0</v>
      </c>
    </row>
    <row r="34" spans="2:8" s="583" customFormat="1" ht="15.6" customHeight="1" x14ac:dyDescent="0.25">
      <c r="B34" s="609"/>
      <c r="C34" s="610"/>
      <c r="D34" s="611"/>
      <c r="E34" s="610"/>
      <c r="F34" s="621"/>
      <c r="G34" s="621"/>
    </row>
    <row r="35" spans="2:8" s="583" customFormat="1" ht="15.75" x14ac:dyDescent="0.25">
      <c r="B35" s="598"/>
      <c r="C35" s="599" t="s">
        <v>710</v>
      </c>
      <c r="D35" s="600"/>
      <c r="E35" s="599" t="s">
        <v>694</v>
      </c>
      <c r="F35" s="619">
        <v>3044</v>
      </c>
      <c r="G35" s="619">
        <v>2268</v>
      </c>
    </row>
    <row r="36" spans="2:8" s="583" customFormat="1" ht="15.75" x14ac:dyDescent="0.25">
      <c r="B36" s="598"/>
      <c r="C36" s="599"/>
      <c r="D36" s="600"/>
      <c r="E36" s="599" t="s">
        <v>695</v>
      </c>
      <c r="F36" s="619">
        <v>1615658</v>
      </c>
      <c r="G36" s="619">
        <v>455907</v>
      </c>
    </row>
    <row r="37" spans="2:8" s="583" customFormat="1" ht="16.5" customHeight="1" x14ac:dyDescent="0.25">
      <c r="B37" s="604" t="s">
        <v>711</v>
      </c>
      <c r="C37" s="605" t="s">
        <v>162</v>
      </c>
      <c r="D37" s="606"/>
      <c r="E37" s="605" t="s">
        <v>697</v>
      </c>
      <c r="F37" s="620">
        <f>SUM(F35:F36)</f>
        <v>1618702</v>
      </c>
      <c r="G37" s="620">
        <f>SUM(G35:G36)</f>
        <v>458175</v>
      </c>
    </row>
    <row r="38" spans="2:8" s="583" customFormat="1" ht="15.6" customHeight="1" x14ac:dyDescent="0.25">
      <c r="B38" s="609"/>
      <c r="C38" s="610"/>
      <c r="D38" s="611"/>
      <c r="E38" s="610"/>
      <c r="F38" s="621"/>
      <c r="G38" s="621"/>
    </row>
    <row r="39" spans="2:8" s="583" customFormat="1" ht="15" customHeight="1" x14ac:dyDescent="0.25">
      <c r="B39" s="598"/>
      <c r="C39" s="599" t="s">
        <v>712</v>
      </c>
      <c r="D39" s="600"/>
      <c r="E39" s="599" t="s">
        <v>694</v>
      </c>
      <c r="F39" s="619">
        <f>+F23+F27+F31+F35</f>
        <v>5511764</v>
      </c>
      <c r="G39" s="619">
        <f>+G23+G27+G31+G35</f>
        <v>12129064</v>
      </c>
      <c r="H39" s="622"/>
    </row>
    <row r="40" spans="2:8" s="583" customFormat="1" ht="15.75" x14ac:dyDescent="0.25">
      <c r="B40" s="598"/>
      <c r="C40" s="599"/>
      <c r="D40" s="600"/>
      <c r="E40" s="599" t="s">
        <v>695</v>
      </c>
      <c r="F40" s="619">
        <f>+F24+F28+F32+F36</f>
        <v>86799750</v>
      </c>
      <c r="G40" s="619">
        <f>+G24+G28+G32+G36</f>
        <v>80481451</v>
      </c>
      <c r="H40" s="622"/>
    </row>
    <row r="41" spans="2:8" s="583" customFormat="1" ht="16.5" customHeight="1" thickBot="1" x14ac:dyDescent="0.3">
      <c r="B41" s="613" t="s">
        <v>713</v>
      </c>
      <c r="C41" s="614" t="s">
        <v>712</v>
      </c>
      <c r="D41" s="615"/>
      <c r="E41" s="614" t="s">
        <v>697</v>
      </c>
      <c r="F41" s="623">
        <f>SUM(F39:F40)</f>
        <v>92311514</v>
      </c>
      <c r="G41" s="623">
        <f>SUM(G39:G40)</f>
        <v>92610515</v>
      </c>
      <c r="H41" s="622"/>
    </row>
    <row r="42" spans="2:8" s="583" customFormat="1" ht="15.6" customHeight="1" x14ac:dyDescent="0.25">
      <c r="B42" s="609"/>
      <c r="C42" s="610"/>
      <c r="D42" s="611"/>
      <c r="E42" s="591"/>
      <c r="F42" s="624"/>
      <c r="G42" s="624"/>
    </row>
    <row r="43" spans="2:8" s="583" customFormat="1" ht="15" customHeight="1" x14ac:dyDescent="0.25">
      <c r="B43" s="598"/>
      <c r="C43" s="599" t="s">
        <v>714</v>
      </c>
      <c r="D43" s="600"/>
      <c r="E43" s="601" t="s">
        <v>694</v>
      </c>
      <c r="F43" s="602"/>
      <c r="G43" s="602">
        <v>0</v>
      </c>
    </row>
    <row r="44" spans="2:8" s="583" customFormat="1" ht="15.75" x14ac:dyDescent="0.25">
      <c r="B44" s="598"/>
      <c r="C44" s="599"/>
      <c r="D44" s="600"/>
      <c r="E44" s="601" t="s">
        <v>695</v>
      </c>
      <c r="F44" s="602">
        <v>6458011</v>
      </c>
      <c r="G44" s="602">
        <v>6457767</v>
      </c>
    </row>
    <row r="45" spans="2:8" s="583" customFormat="1" ht="16.5" customHeight="1" x14ac:dyDescent="0.25">
      <c r="B45" s="604" t="s">
        <v>715</v>
      </c>
      <c r="C45" s="605" t="s">
        <v>716</v>
      </c>
      <c r="D45" s="606"/>
      <c r="E45" s="607" t="s">
        <v>697</v>
      </c>
      <c r="F45" s="608">
        <f>SUM(F43:F44)</f>
        <v>6458011</v>
      </c>
      <c r="G45" s="608">
        <f>SUM(G43:G44)</f>
        <v>6457767</v>
      </c>
    </row>
    <row r="46" spans="2:8" s="583" customFormat="1" ht="15.6" customHeight="1" x14ac:dyDescent="0.25">
      <c r="B46" s="609"/>
      <c r="C46" s="610"/>
      <c r="D46" s="611"/>
      <c r="E46" s="591"/>
      <c r="F46" s="612"/>
      <c r="G46" s="612"/>
    </row>
    <row r="47" spans="2:8" s="583" customFormat="1" ht="15.75" customHeight="1" x14ac:dyDescent="0.25">
      <c r="B47" s="598"/>
      <c r="C47" s="599" t="s">
        <v>717</v>
      </c>
      <c r="D47" s="600"/>
      <c r="E47" s="601" t="s">
        <v>694</v>
      </c>
      <c r="F47" s="602">
        <v>0</v>
      </c>
      <c r="G47" s="602">
        <v>0</v>
      </c>
    </row>
    <row r="48" spans="2:8" s="583" customFormat="1" ht="15.75" x14ac:dyDescent="0.25">
      <c r="B48" s="598"/>
      <c r="C48" s="599"/>
      <c r="D48" s="600"/>
      <c r="E48" s="601" t="s">
        <v>695</v>
      </c>
      <c r="F48" s="602">
        <v>0</v>
      </c>
      <c r="G48" s="602">
        <v>0</v>
      </c>
    </row>
    <row r="49" spans="2:7" s="583" customFormat="1" ht="16.5" customHeight="1" x14ac:dyDescent="0.25">
      <c r="B49" s="604" t="s">
        <v>718</v>
      </c>
      <c r="C49" s="605" t="s">
        <v>717</v>
      </c>
      <c r="D49" s="606"/>
      <c r="E49" s="607" t="s">
        <v>697</v>
      </c>
      <c r="F49" s="620">
        <f>SUM(F48:F48)</f>
        <v>0</v>
      </c>
      <c r="G49" s="620">
        <f>SUM(G48:G48)</f>
        <v>0</v>
      </c>
    </row>
    <row r="50" spans="2:7" s="583" customFormat="1" ht="15.6" customHeight="1" x14ac:dyDescent="0.25">
      <c r="B50" s="609"/>
      <c r="C50" s="610"/>
      <c r="D50" s="611"/>
      <c r="E50" s="591"/>
      <c r="F50" s="621"/>
      <c r="G50" s="621"/>
    </row>
    <row r="51" spans="2:7" s="583" customFormat="1" ht="15.75" customHeight="1" x14ac:dyDescent="0.25">
      <c r="B51" s="598"/>
      <c r="C51" s="599" t="s">
        <v>719</v>
      </c>
      <c r="D51" s="600"/>
      <c r="E51" s="601" t="s">
        <v>694</v>
      </c>
      <c r="F51" s="619">
        <f>F43+F47</f>
        <v>0</v>
      </c>
      <c r="G51" s="619">
        <f>G43+G47</f>
        <v>0</v>
      </c>
    </row>
    <row r="52" spans="2:7" s="583" customFormat="1" ht="15.75" x14ac:dyDescent="0.25">
      <c r="B52" s="598"/>
      <c r="C52" s="610"/>
      <c r="D52" s="600"/>
      <c r="E52" s="601" t="s">
        <v>695</v>
      </c>
      <c r="F52" s="619">
        <f>F44+F48</f>
        <v>6458011</v>
      </c>
      <c r="G52" s="619">
        <f>G44+G48</f>
        <v>6457767</v>
      </c>
    </row>
    <row r="53" spans="2:7" s="583" customFormat="1" ht="16.5" customHeight="1" thickBot="1" x14ac:dyDescent="0.3">
      <c r="B53" s="613" t="s">
        <v>720</v>
      </c>
      <c r="C53" s="614" t="s">
        <v>719</v>
      </c>
      <c r="D53" s="615"/>
      <c r="E53" s="616" t="s">
        <v>697</v>
      </c>
      <c r="F53" s="623">
        <f>SUM(F51:F52)</f>
        <v>6458011</v>
      </c>
      <c r="G53" s="623">
        <f>SUM(G51:G52)</f>
        <v>6457767</v>
      </c>
    </row>
    <row r="54" spans="2:7" s="583" customFormat="1" ht="15.6" customHeight="1" x14ac:dyDescent="0.25">
      <c r="B54" s="609"/>
      <c r="C54" s="610"/>
      <c r="D54" s="611"/>
      <c r="E54" s="591"/>
      <c r="F54" s="612"/>
      <c r="G54" s="612"/>
    </row>
    <row r="55" spans="2:7" s="583" customFormat="1" ht="16.5" customHeight="1" x14ac:dyDescent="0.25">
      <c r="B55" s="598"/>
      <c r="C55" s="599" t="s">
        <v>721</v>
      </c>
      <c r="D55" s="600"/>
      <c r="E55" s="601" t="s">
        <v>694</v>
      </c>
      <c r="F55" s="602"/>
      <c r="G55" s="602">
        <v>0</v>
      </c>
    </row>
    <row r="56" spans="2:7" s="583" customFormat="1" ht="15.75" x14ac:dyDescent="0.25">
      <c r="B56" s="598"/>
      <c r="C56" s="599"/>
      <c r="D56" s="600"/>
      <c r="E56" s="601" t="s">
        <v>695</v>
      </c>
      <c r="F56" s="602">
        <v>872952</v>
      </c>
      <c r="G56" s="602">
        <v>57022</v>
      </c>
    </row>
    <row r="57" spans="2:7" s="583" customFormat="1" ht="38.25" customHeight="1" thickBot="1" x14ac:dyDescent="0.3">
      <c r="B57" s="625" t="s">
        <v>722</v>
      </c>
      <c r="C57" s="2003" t="s">
        <v>723</v>
      </c>
      <c r="D57" s="2004"/>
      <c r="E57" s="626" t="s">
        <v>697</v>
      </c>
      <c r="F57" s="627">
        <f>SUM(F55:F56)</f>
        <v>872952</v>
      </c>
      <c r="G57" s="627">
        <f>SUM(G55:G56)</f>
        <v>57022</v>
      </c>
    </row>
    <row r="58" spans="2:7" s="583" customFormat="1" ht="15.6" customHeight="1" x14ac:dyDescent="0.25">
      <c r="B58" s="628"/>
      <c r="C58" s="629"/>
      <c r="D58" s="630"/>
      <c r="E58" s="587"/>
      <c r="F58" s="618"/>
      <c r="G58" s="618"/>
    </row>
    <row r="59" spans="2:7" s="583" customFormat="1" ht="15" customHeight="1" x14ac:dyDescent="0.25">
      <c r="B59" s="598"/>
      <c r="C59" s="1992" t="s">
        <v>724</v>
      </c>
      <c r="D59" s="1993"/>
      <c r="E59" s="601" t="s">
        <v>694</v>
      </c>
      <c r="F59" s="619">
        <f>+F19+F39+F51+F55</f>
        <v>5544364</v>
      </c>
      <c r="G59" s="619">
        <f>+G19+G39+G51+G55</f>
        <v>12157836</v>
      </c>
    </row>
    <row r="60" spans="2:7" s="583" customFormat="1" ht="16.5" thickBot="1" x14ac:dyDescent="0.3">
      <c r="B60" s="632"/>
      <c r="C60" s="633"/>
      <c r="D60" s="634"/>
      <c r="E60" s="635" t="s">
        <v>695</v>
      </c>
      <c r="F60" s="636">
        <f>+F20+F40+F52+F56</f>
        <v>94156457</v>
      </c>
      <c r="G60" s="636">
        <f>+G20+G40+G52+G56</f>
        <v>87027865</v>
      </c>
    </row>
    <row r="61" spans="2:7" s="583" customFormat="1" ht="39.75" customHeight="1" thickBot="1" x14ac:dyDescent="0.3">
      <c r="B61" s="637" t="s">
        <v>725</v>
      </c>
      <c r="C61" s="2005" t="s">
        <v>724</v>
      </c>
      <c r="D61" s="1993"/>
      <c r="E61" s="639" t="s">
        <v>697</v>
      </c>
      <c r="F61" s="640">
        <f>SUM(F59:F60)</f>
        <v>99700821</v>
      </c>
      <c r="G61" s="640">
        <f>SUM(G59:G60)</f>
        <v>99185701</v>
      </c>
    </row>
    <row r="62" spans="2:7" s="583" customFormat="1" ht="16.5" customHeight="1" x14ac:dyDescent="0.25">
      <c r="B62" s="586"/>
      <c r="C62" s="586"/>
      <c r="D62" s="641"/>
      <c r="E62" s="587"/>
      <c r="F62" s="588"/>
      <c r="G62" s="588"/>
    </row>
    <row r="63" spans="2:7" s="583" customFormat="1" ht="15" customHeight="1" x14ac:dyDescent="0.25">
      <c r="B63" s="598"/>
      <c r="C63" s="599" t="s">
        <v>726</v>
      </c>
      <c r="D63" s="600"/>
      <c r="E63" s="601" t="s">
        <v>694</v>
      </c>
      <c r="F63" s="619">
        <v>33433</v>
      </c>
      <c r="G63" s="619">
        <v>29732</v>
      </c>
    </row>
    <row r="64" spans="2:7" s="583" customFormat="1" ht="15.75" x14ac:dyDescent="0.25">
      <c r="B64" s="642"/>
      <c r="C64" s="599"/>
      <c r="D64" s="600"/>
      <c r="E64" s="601" t="s">
        <v>695</v>
      </c>
      <c r="F64" s="619">
        <v>0</v>
      </c>
      <c r="G64" s="619">
        <v>0</v>
      </c>
    </row>
    <row r="65" spans="2:7" s="583" customFormat="1" ht="16.5" customHeight="1" thickBot="1" x14ac:dyDescent="0.3">
      <c r="B65" s="643" t="s">
        <v>727</v>
      </c>
      <c r="C65" s="614" t="s">
        <v>726</v>
      </c>
      <c r="D65" s="615"/>
      <c r="E65" s="616" t="s">
        <v>697</v>
      </c>
      <c r="F65" s="623">
        <f>SUM(F63:F64)</f>
        <v>33433</v>
      </c>
      <c r="G65" s="623">
        <f>SUM(G63:G64)</f>
        <v>29732</v>
      </c>
    </row>
    <row r="66" spans="2:7" s="583" customFormat="1" ht="11.1" customHeight="1" x14ac:dyDescent="0.25">
      <c r="B66" s="598"/>
      <c r="C66" s="599"/>
      <c r="D66" s="600"/>
      <c r="E66" s="601"/>
      <c r="F66" s="602"/>
      <c r="G66" s="602"/>
    </row>
    <row r="67" spans="2:7" s="583" customFormat="1" ht="15.75" x14ac:dyDescent="0.25">
      <c r="B67" s="598"/>
      <c r="C67" s="599" t="s">
        <v>728</v>
      </c>
      <c r="D67" s="600"/>
      <c r="E67" s="601" t="s">
        <v>694</v>
      </c>
      <c r="F67" s="602">
        <v>0</v>
      </c>
      <c r="G67" s="602">
        <v>0</v>
      </c>
    </row>
    <row r="68" spans="2:7" s="583" customFormat="1" ht="15.75" x14ac:dyDescent="0.25">
      <c r="B68" s="598"/>
      <c r="C68" s="599"/>
      <c r="D68" s="600"/>
      <c r="E68" s="601" t="s">
        <v>695</v>
      </c>
      <c r="F68" s="602">
        <v>0</v>
      </c>
      <c r="G68" s="602">
        <v>0</v>
      </c>
    </row>
    <row r="69" spans="2:7" s="583" customFormat="1" ht="16.5" customHeight="1" thickBot="1" x14ac:dyDescent="0.3">
      <c r="B69" s="613" t="s">
        <v>729</v>
      </c>
      <c r="C69" s="614" t="s">
        <v>730</v>
      </c>
      <c r="D69" s="615"/>
      <c r="E69" s="616" t="s">
        <v>697</v>
      </c>
      <c r="F69" s="617">
        <f>SUM(F67:F68)</f>
        <v>0</v>
      </c>
      <c r="G69" s="617">
        <f>SUM(G67:G68)</f>
        <v>0</v>
      </c>
    </row>
    <row r="70" spans="2:7" s="583" customFormat="1" ht="15.6" customHeight="1" x14ac:dyDescent="0.25">
      <c r="B70" s="609"/>
      <c r="C70" s="610"/>
      <c r="D70" s="611"/>
      <c r="E70" s="591"/>
      <c r="F70" s="612"/>
      <c r="G70" s="612"/>
    </row>
    <row r="71" spans="2:7" s="583" customFormat="1" ht="15.75" x14ac:dyDescent="0.25">
      <c r="B71" s="598"/>
      <c r="C71" s="599" t="s">
        <v>731</v>
      </c>
      <c r="D71" s="600"/>
      <c r="E71" s="601" t="s">
        <v>694</v>
      </c>
      <c r="F71" s="602">
        <f>+F63+F67</f>
        <v>33433</v>
      </c>
      <c r="G71" s="602">
        <f>+G63+G67</f>
        <v>29732</v>
      </c>
    </row>
    <row r="72" spans="2:7" s="583" customFormat="1" ht="16.5" thickBot="1" x14ac:dyDescent="0.3">
      <c r="B72" s="598"/>
      <c r="C72" s="599" t="s">
        <v>73</v>
      </c>
      <c r="D72" s="600"/>
      <c r="E72" s="601" t="s">
        <v>695</v>
      </c>
      <c r="F72" s="602">
        <f>+F64+F68</f>
        <v>0</v>
      </c>
      <c r="G72" s="602">
        <f>+G64+G68</f>
        <v>0</v>
      </c>
    </row>
    <row r="73" spans="2:7" s="583" customFormat="1" ht="36.75" customHeight="1" thickBot="1" x14ac:dyDescent="0.3">
      <c r="B73" s="644" t="s">
        <v>732</v>
      </c>
      <c r="C73" s="1997" t="s">
        <v>733</v>
      </c>
      <c r="D73" s="1998"/>
      <c r="E73" s="645" t="s">
        <v>697</v>
      </c>
      <c r="F73" s="646">
        <f>SUM(F71:F72)</f>
        <v>33433</v>
      </c>
      <c r="G73" s="646">
        <f>SUM(G71:G72)</f>
        <v>29732</v>
      </c>
    </row>
    <row r="74" spans="2:7" s="583" customFormat="1" ht="30" customHeight="1" x14ac:dyDescent="0.25">
      <c r="B74" s="647"/>
      <c r="C74" s="648"/>
      <c r="D74" s="649"/>
      <c r="E74" s="650"/>
      <c r="F74" s="651"/>
      <c r="G74" s="651"/>
    </row>
    <row r="75" spans="2:7" s="583" customFormat="1" ht="30" customHeight="1" thickBot="1" x14ac:dyDescent="0.3">
      <c r="B75" s="647"/>
      <c r="C75" s="648"/>
      <c r="D75" s="649"/>
      <c r="E75" s="650"/>
      <c r="F75" s="651"/>
      <c r="G75" s="651"/>
    </row>
    <row r="76" spans="2:7" s="583" customFormat="1" ht="20.25" customHeight="1" x14ac:dyDescent="0.25">
      <c r="B76" s="586"/>
      <c r="C76" s="2001" t="s">
        <v>28</v>
      </c>
      <c r="D76" s="2002"/>
      <c r="E76" s="652"/>
      <c r="F76" s="588" t="s">
        <v>690</v>
      </c>
      <c r="G76" s="588" t="s">
        <v>1120</v>
      </c>
    </row>
    <row r="77" spans="2:7" s="583" customFormat="1" ht="16.5" customHeight="1" x14ac:dyDescent="0.25">
      <c r="B77" s="589"/>
      <c r="C77" s="589"/>
      <c r="D77" s="590"/>
      <c r="E77" s="653"/>
      <c r="F77" s="592" t="s">
        <v>691</v>
      </c>
      <c r="G77" s="592" t="s">
        <v>691</v>
      </c>
    </row>
    <row r="78" spans="2:7" s="583" customFormat="1" ht="16.5" customHeight="1" thickBot="1" x14ac:dyDescent="0.3">
      <c r="B78" s="593"/>
      <c r="C78" s="593"/>
      <c r="D78" s="594"/>
      <c r="E78" s="654"/>
      <c r="F78" s="596" t="s">
        <v>692</v>
      </c>
      <c r="G78" s="596" t="s">
        <v>1119</v>
      </c>
    </row>
    <row r="79" spans="2:7" s="583" customFormat="1" ht="15.6" customHeight="1" x14ac:dyDescent="0.25">
      <c r="B79" s="609"/>
      <c r="C79" s="610"/>
      <c r="D79" s="611"/>
      <c r="E79" s="653"/>
      <c r="F79" s="612"/>
      <c r="G79" s="612"/>
    </row>
    <row r="80" spans="2:7" s="583" customFormat="1" ht="15.75" x14ac:dyDescent="0.25">
      <c r="B80" s="598"/>
      <c r="C80" s="599" t="s">
        <v>734</v>
      </c>
      <c r="D80" s="600"/>
      <c r="E80" s="655" t="s">
        <v>694</v>
      </c>
      <c r="F80" s="602">
        <v>0</v>
      </c>
      <c r="G80" s="602">
        <v>0</v>
      </c>
    </row>
    <row r="81" spans="2:7" s="583" customFormat="1" ht="15.75" x14ac:dyDescent="0.25">
      <c r="B81" s="598"/>
      <c r="C81" s="599"/>
      <c r="D81" s="600"/>
      <c r="E81" s="655" t="s">
        <v>695</v>
      </c>
      <c r="F81" s="602">
        <v>0</v>
      </c>
      <c r="G81" s="602">
        <v>0</v>
      </c>
    </row>
    <row r="82" spans="2:7" s="583" customFormat="1" ht="15.6" customHeight="1" x14ac:dyDescent="0.25">
      <c r="B82" s="604" t="s">
        <v>735</v>
      </c>
      <c r="C82" s="605" t="s">
        <v>734</v>
      </c>
      <c r="D82" s="606"/>
      <c r="E82" s="656" t="s">
        <v>697</v>
      </c>
      <c r="F82" s="608">
        <f>SUM(F80:F81)</f>
        <v>0</v>
      </c>
      <c r="G82" s="608">
        <f>SUM(G80:G81)</f>
        <v>0</v>
      </c>
    </row>
    <row r="83" spans="2:7" s="583" customFormat="1" ht="11.1" customHeight="1" x14ac:dyDescent="0.25">
      <c r="B83" s="598"/>
      <c r="C83" s="599"/>
      <c r="D83" s="600"/>
      <c r="E83" s="655"/>
      <c r="F83" s="602"/>
      <c r="G83" s="602"/>
    </row>
    <row r="84" spans="2:7" s="583" customFormat="1" ht="15.75" x14ac:dyDescent="0.25">
      <c r="B84" s="598"/>
      <c r="C84" s="599" t="s">
        <v>736</v>
      </c>
      <c r="D84" s="600"/>
      <c r="E84" s="655" t="s">
        <v>694</v>
      </c>
      <c r="F84" s="602">
        <v>1075</v>
      </c>
      <c r="G84" s="602">
        <v>2082</v>
      </c>
    </row>
    <row r="85" spans="2:7" s="583" customFormat="1" ht="15.75" x14ac:dyDescent="0.25">
      <c r="B85" s="598"/>
      <c r="C85" s="657"/>
      <c r="D85" s="600"/>
      <c r="E85" s="655" t="s">
        <v>695</v>
      </c>
      <c r="F85" s="602">
        <v>0</v>
      </c>
      <c r="G85" s="602">
        <v>1</v>
      </c>
    </row>
    <row r="86" spans="2:7" s="583" customFormat="1" ht="15.6" customHeight="1" x14ac:dyDescent="0.25">
      <c r="B86" s="604" t="s">
        <v>737</v>
      </c>
      <c r="C86" s="605" t="s">
        <v>736</v>
      </c>
      <c r="D86" s="606"/>
      <c r="E86" s="656" t="s">
        <v>697</v>
      </c>
      <c r="F86" s="608">
        <f>SUM(F84:F85)</f>
        <v>1075</v>
      </c>
      <c r="G86" s="608">
        <f>SUM(G84:G85)</f>
        <v>2083</v>
      </c>
    </row>
    <row r="87" spans="2:7" s="583" customFormat="1" ht="11.1" customHeight="1" x14ac:dyDescent="0.25">
      <c r="B87" s="598"/>
      <c r="C87" s="599"/>
      <c r="D87" s="600"/>
      <c r="E87" s="655"/>
      <c r="F87" s="602"/>
      <c r="G87" s="602"/>
    </row>
    <row r="88" spans="2:7" s="583" customFormat="1" ht="15.75" x14ac:dyDescent="0.25">
      <c r="B88" s="598"/>
      <c r="C88" s="599" t="s">
        <v>738</v>
      </c>
      <c r="D88" s="600"/>
      <c r="E88" s="655" t="s">
        <v>694</v>
      </c>
      <c r="F88" s="602">
        <v>466124</v>
      </c>
      <c r="G88" s="602">
        <v>653585</v>
      </c>
    </row>
    <row r="89" spans="2:7" s="583" customFormat="1" ht="15.75" x14ac:dyDescent="0.25">
      <c r="B89" s="598"/>
      <c r="C89" s="599"/>
      <c r="D89" s="600"/>
      <c r="E89" s="655" t="s">
        <v>695</v>
      </c>
      <c r="F89" s="602">
        <v>7085300</v>
      </c>
      <c r="G89" s="602">
        <v>2993500</v>
      </c>
    </row>
    <row r="90" spans="2:7" s="583" customFormat="1" ht="15.6" customHeight="1" x14ac:dyDescent="0.25">
      <c r="B90" s="604" t="s">
        <v>739</v>
      </c>
      <c r="C90" s="605" t="s">
        <v>738</v>
      </c>
      <c r="D90" s="606"/>
      <c r="E90" s="656" t="s">
        <v>697</v>
      </c>
      <c r="F90" s="608">
        <f>SUM(F88:F89)</f>
        <v>7551424</v>
      </c>
      <c r="G90" s="608">
        <f>SUM(G88:G89)</f>
        <v>3647085</v>
      </c>
    </row>
    <row r="91" spans="2:7" s="583" customFormat="1" ht="11.1" customHeight="1" x14ac:dyDescent="0.25">
      <c r="B91" s="598"/>
      <c r="C91" s="599"/>
      <c r="D91" s="600"/>
      <c r="E91" s="655"/>
      <c r="F91" s="602"/>
      <c r="G91" s="602"/>
    </row>
    <row r="92" spans="2:7" s="583" customFormat="1" ht="15.75" x14ac:dyDescent="0.25">
      <c r="B92" s="598"/>
      <c r="C92" s="599" t="s">
        <v>740</v>
      </c>
      <c r="D92" s="600"/>
      <c r="E92" s="655" t="s">
        <v>694</v>
      </c>
      <c r="F92" s="602"/>
      <c r="G92" s="602"/>
    </row>
    <row r="93" spans="2:7" s="583" customFormat="1" ht="15.75" x14ac:dyDescent="0.25">
      <c r="B93" s="598"/>
      <c r="C93" s="599"/>
      <c r="D93" s="600"/>
      <c r="E93" s="655" t="s">
        <v>695</v>
      </c>
      <c r="F93" s="602">
        <v>61162</v>
      </c>
      <c r="G93" s="602">
        <v>50546</v>
      </c>
    </row>
    <row r="94" spans="2:7" s="583" customFormat="1" ht="15.6" customHeight="1" x14ac:dyDescent="0.25">
      <c r="B94" s="604" t="s">
        <v>741</v>
      </c>
      <c r="C94" s="605" t="s">
        <v>740</v>
      </c>
      <c r="D94" s="606"/>
      <c r="E94" s="656" t="s">
        <v>697</v>
      </c>
      <c r="F94" s="608">
        <f>SUM(F92:F93)</f>
        <v>61162</v>
      </c>
      <c r="G94" s="608">
        <f>SUM(G92:G93)</f>
        <v>50546</v>
      </c>
    </row>
    <row r="95" spans="2:7" s="583" customFormat="1" ht="11.1" customHeight="1" x14ac:dyDescent="0.25">
      <c r="B95" s="598"/>
      <c r="C95" s="599"/>
      <c r="D95" s="600"/>
      <c r="E95" s="655"/>
      <c r="F95" s="602"/>
      <c r="G95" s="602"/>
    </row>
    <row r="96" spans="2:7" s="583" customFormat="1" ht="11.1" customHeight="1" x14ac:dyDescent="0.25">
      <c r="B96" s="598"/>
      <c r="C96" s="599"/>
      <c r="D96" s="600"/>
      <c r="E96" s="655"/>
      <c r="F96" s="602"/>
      <c r="G96" s="602"/>
    </row>
    <row r="97" spans="2:7" s="583" customFormat="1" ht="15.75" x14ac:dyDescent="0.25">
      <c r="B97" s="598"/>
      <c r="C97" s="599" t="s">
        <v>742</v>
      </c>
      <c r="D97" s="600"/>
      <c r="E97" s="655" t="s">
        <v>694</v>
      </c>
      <c r="F97" s="602">
        <f>+F80+F84+F88+F92</f>
        <v>467199</v>
      </c>
      <c r="G97" s="602">
        <f>+G80+G84+G88+G92</f>
        <v>655667</v>
      </c>
    </row>
    <row r="98" spans="2:7" s="583" customFormat="1" ht="16.5" thickBot="1" x14ac:dyDescent="0.3">
      <c r="B98" s="598"/>
      <c r="C98" s="599"/>
      <c r="D98" s="600"/>
      <c r="E98" s="655" t="s">
        <v>695</v>
      </c>
      <c r="F98" s="602">
        <f>F81+F85+F89+F93</f>
        <v>7146462</v>
      </c>
      <c r="G98" s="602">
        <f>G81+G85+G89+G93</f>
        <v>3044047</v>
      </c>
    </row>
    <row r="99" spans="2:7" s="583" customFormat="1" ht="30" customHeight="1" thickBot="1" x14ac:dyDescent="0.3">
      <c r="B99" s="644" t="s">
        <v>743</v>
      </c>
      <c r="C99" s="1997" t="s">
        <v>742</v>
      </c>
      <c r="D99" s="1998"/>
      <c r="E99" s="658" t="s">
        <v>697</v>
      </c>
      <c r="F99" s="646">
        <f>SUM(F97:F98)</f>
        <v>7613661</v>
      </c>
      <c r="G99" s="646">
        <f>SUM(G97:G98)</f>
        <v>3699714</v>
      </c>
    </row>
    <row r="100" spans="2:7" s="583" customFormat="1" ht="15.6" customHeight="1" x14ac:dyDescent="0.25">
      <c r="B100" s="609"/>
      <c r="C100" s="610"/>
      <c r="D100" s="611"/>
      <c r="E100" s="653"/>
      <c r="F100" s="612"/>
      <c r="G100" s="612"/>
    </row>
    <row r="101" spans="2:7" s="583" customFormat="1" ht="15.75" x14ac:dyDescent="0.25">
      <c r="B101" s="598"/>
      <c r="C101" s="599" t="s">
        <v>744</v>
      </c>
      <c r="D101" s="600"/>
      <c r="E101" s="655" t="s">
        <v>694</v>
      </c>
      <c r="F101" s="602">
        <v>26675</v>
      </c>
      <c r="G101" s="602">
        <v>45101</v>
      </c>
    </row>
    <row r="102" spans="2:7" s="583" customFormat="1" ht="15.75" x14ac:dyDescent="0.25">
      <c r="B102" s="598"/>
      <c r="C102" s="599"/>
      <c r="D102" s="600"/>
      <c r="E102" s="655" t="s">
        <v>695</v>
      </c>
      <c r="F102" s="602">
        <v>2074770</v>
      </c>
      <c r="G102" s="602">
        <v>1390003</v>
      </c>
    </row>
    <row r="103" spans="2:7" s="583" customFormat="1" ht="15.6" customHeight="1" x14ac:dyDescent="0.25">
      <c r="B103" s="604" t="s">
        <v>745</v>
      </c>
      <c r="C103" s="605" t="s">
        <v>744</v>
      </c>
      <c r="D103" s="606"/>
      <c r="E103" s="656" t="s">
        <v>697</v>
      </c>
      <c r="F103" s="608">
        <f>SUM(F101:F102)</f>
        <v>2101445</v>
      </c>
      <c r="G103" s="608">
        <f>SUM(G101:G102)</f>
        <v>1435104</v>
      </c>
    </row>
    <row r="104" spans="2:7" s="583" customFormat="1" ht="12" customHeight="1" x14ac:dyDescent="0.25">
      <c r="B104" s="598"/>
      <c r="C104" s="599"/>
      <c r="D104" s="600"/>
      <c r="E104" s="655"/>
      <c r="F104" s="602"/>
      <c r="G104" s="602"/>
    </row>
    <row r="105" spans="2:7" s="583" customFormat="1" ht="15.75" x14ac:dyDescent="0.25">
      <c r="B105" s="598"/>
      <c r="C105" s="599" t="s">
        <v>746</v>
      </c>
      <c r="D105" s="600"/>
      <c r="E105" s="655" t="s">
        <v>694</v>
      </c>
      <c r="F105" s="602">
        <v>7286</v>
      </c>
      <c r="G105" s="602">
        <v>4031</v>
      </c>
    </row>
    <row r="106" spans="2:7" s="583" customFormat="1" ht="15.75" x14ac:dyDescent="0.25">
      <c r="B106" s="598"/>
      <c r="C106" s="657"/>
      <c r="D106" s="600"/>
      <c r="E106" s="655" t="s">
        <v>695</v>
      </c>
      <c r="F106" s="602">
        <v>5296940</v>
      </c>
      <c r="G106" s="602">
        <v>5368528</v>
      </c>
    </row>
    <row r="107" spans="2:7" s="583" customFormat="1" ht="36.75" customHeight="1" x14ac:dyDescent="0.25">
      <c r="B107" s="604" t="s">
        <v>747</v>
      </c>
      <c r="C107" s="1994" t="s">
        <v>746</v>
      </c>
      <c r="D107" s="1995"/>
      <c r="E107" s="656" t="s">
        <v>697</v>
      </c>
      <c r="F107" s="608">
        <f>SUM(F105:F106)</f>
        <v>5304226</v>
      </c>
      <c r="G107" s="608">
        <f>SUM(G105:G106)</f>
        <v>5372559</v>
      </c>
    </row>
    <row r="108" spans="2:7" s="583" customFormat="1" ht="12" customHeight="1" x14ac:dyDescent="0.25">
      <c r="B108" s="598"/>
      <c r="C108" s="599"/>
      <c r="D108" s="600"/>
      <c r="E108" s="655"/>
      <c r="F108" s="602"/>
      <c r="G108" s="602"/>
    </row>
    <row r="109" spans="2:7" s="583" customFormat="1" ht="15.75" x14ac:dyDescent="0.25">
      <c r="B109" s="598"/>
      <c r="C109" s="599" t="s">
        <v>748</v>
      </c>
      <c r="D109" s="600"/>
      <c r="E109" s="655" t="s">
        <v>694</v>
      </c>
      <c r="F109" s="602">
        <v>36504</v>
      </c>
      <c r="G109" s="602">
        <v>53800</v>
      </c>
    </row>
    <row r="110" spans="2:7" s="583" customFormat="1" ht="15.75" x14ac:dyDescent="0.25">
      <c r="B110" s="598"/>
      <c r="C110" s="599"/>
      <c r="D110" s="600"/>
      <c r="E110" s="655" t="s">
        <v>695</v>
      </c>
      <c r="F110" s="602">
        <v>457745</v>
      </c>
      <c r="G110" s="602">
        <v>200491</v>
      </c>
    </row>
    <row r="111" spans="2:7" s="583" customFormat="1" ht="15.6" customHeight="1" x14ac:dyDescent="0.25">
      <c r="B111" s="604" t="s">
        <v>749</v>
      </c>
      <c r="C111" s="605" t="s">
        <v>748</v>
      </c>
      <c r="D111" s="606"/>
      <c r="E111" s="656" t="s">
        <v>697</v>
      </c>
      <c r="F111" s="608">
        <f>SUM(F109:F110)</f>
        <v>494249</v>
      </c>
      <c r="G111" s="608">
        <f>SUM(G109:G110)</f>
        <v>254291</v>
      </c>
    </row>
    <row r="112" spans="2:7" s="583" customFormat="1" ht="12" customHeight="1" x14ac:dyDescent="0.25">
      <c r="B112" s="609"/>
      <c r="C112" s="610"/>
      <c r="D112" s="611"/>
      <c r="E112" s="653"/>
      <c r="F112" s="612"/>
      <c r="G112" s="612"/>
    </row>
    <row r="113" spans="2:7" s="583" customFormat="1" ht="15.75" x14ac:dyDescent="0.25">
      <c r="B113" s="598"/>
      <c r="C113" s="599" t="s">
        <v>750</v>
      </c>
      <c r="D113" s="600"/>
      <c r="E113" s="655" t="s">
        <v>694</v>
      </c>
      <c r="F113" s="602">
        <f>+F101+F105+F109</f>
        <v>70465</v>
      </c>
      <c r="G113" s="602">
        <f>+G101+G105+G109</f>
        <v>102932</v>
      </c>
    </row>
    <row r="114" spans="2:7" s="583" customFormat="1" ht="16.5" thickBot="1" x14ac:dyDescent="0.3">
      <c r="B114" s="598"/>
      <c r="C114" s="599"/>
      <c r="D114" s="600"/>
      <c r="E114" s="655" t="s">
        <v>695</v>
      </c>
      <c r="F114" s="602">
        <f>+F102+F106+F110</f>
        <v>7829455</v>
      </c>
      <c r="G114" s="602">
        <f>+G102+G106+G110</f>
        <v>6959022</v>
      </c>
    </row>
    <row r="115" spans="2:7" s="583" customFormat="1" ht="30" customHeight="1" thickBot="1" x14ac:dyDescent="0.3">
      <c r="B115" s="644" t="s">
        <v>751</v>
      </c>
      <c r="C115" s="1997" t="s">
        <v>750</v>
      </c>
      <c r="D115" s="1998"/>
      <c r="E115" s="658" t="s">
        <v>697</v>
      </c>
      <c r="F115" s="646">
        <f>SUM(F113:F114)</f>
        <v>7899920</v>
      </c>
      <c r="G115" s="646">
        <f>SUM(G113:G114)</f>
        <v>7061954</v>
      </c>
    </row>
    <row r="116" spans="2:7" s="583" customFormat="1" ht="12" customHeight="1" x14ac:dyDescent="0.25">
      <c r="B116" s="637"/>
      <c r="C116" s="638"/>
      <c r="D116" s="631"/>
      <c r="E116" s="650"/>
      <c r="F116" s="640"/>
      <c r="G116" s="640"/>
    </row>
    <row r="117" spans="2:7" s="583" customFormat="1" ht="15.75" x14ac:dyDescent="0.25">
      <c r="B117" s="598"/>
      <c r="C117" s="599" t="s">
        <v>752</v>
      </c>
      <c r="D117" s="600"/>
      <c r="E117" s="655" t="s">
        <v>694</v>
      </c>
      <c r="F117" s="602">
        <v>50405</v>
      </c>
      <c r="G117" s="602">
        <v>54436</v>
      </c>
    </row>
    <row r="118" spans="2:7" s="583" customFormat="1" ht="16.5" thickBot="1" x14ac:dyDescent="0.3">
      <c r="B118" s="598"/>
      <c r="C118" s="599"/>
      <c r="D118" s="600"/>
      <c r="E118" s="655" t="s">
        <v>695</v>
      </c>
      <c r="F118" s="602">
        <v>-33572</v>
      </c>
      <c r="G118" s="602">
        <v>29603</v>
      </c>
    </row>
    <row r="119" spans="2:7" s="583" customFormat="1" ht="30" customHeight="1" thickBot="1" x14ac:dyDescent="0.3">
      <c r="B119" s="644" t="s">
        <v>753</v>
      </c>
      <c r="C119" s="1997" t="s">
        <v>752</v>
      </c>
      <c r="D119" s="1998"/>
      <c r="E119" s="658" t="s">
        <v>697</v>
      </c>
      <c r="F119" s="646">
        <f>SUM(F117:F118)</f>
        <v>16833</v>
      </c>
      <c r="G119" s="646">
        <f>SUM(G117:G118)</f>
        <v>84039</v>
      </c>
    </row>
    <row r="120" spans="2:7" s="583" customFormat="1" ht="15.6" customHeight="1" x14ac:dyDescent="0.25">
      <c r="B120" s="609"/>
      <c r="C120" s="610"/>
      <c r="D120" s="611"/>
      <c r="E120" s="653"/>
      <c r="F120" s="612"/>
      <c r="G120" s="612"/>
    </row>
    <row r="121" spans="2:7" s="583" customFormat="1" ht="19.5" customHeight="1" x14ac:dyDescent="0.25">
      <c r="B121" s="598"/>
      <c r="C121" s="1992" t="s">
        <v>754</v>
      </c>
      <c r="D121" s="1993"/>
      <c r="E121" s="655" t="s">
        <v>694</v>
      </c>
      <c r="F121" s="602">
        <v>22522</v>
      </c>
      <c r="G121" s="602">
        <v>19785</v>
      </c>
    </row>
    <row r="122" spans="2:7" s="583" customFormat="1" ht="15.75" x14ac:dyDescent="0.25">
      <c r="B122" s="598"/>
      <c r="C122" s="599" t="s">
        <v>755</v>
      </c>
      <c r="D122" s="600"/>
      <c r="E122" s="655" t="s">
        <v>695</v>
      </c>
      <c r="F122" s="602">
        <v>463285</v>
      </c>
      <c r="G122" s="602">
        <v>458632</v>
      </c>
    </row>
    <row r="123" spans="2:7" s="583" customFormat="1" ht="31.5" customHeight="1" x14ac:dyDescent="0.25">
      <c r="B123" s="604" t="s">
        <v>756</v>
      </c>
      <c r="C123" s="1994" t="s">
        <v>757</v>
      </c>
      <c r="D123" s="1995"/>
      <c r="E123" s="656" t="s">
        <v>697</v>
      </c>
      <c r="F123" s="608">
        <f>SUM(F121:F122)</f>
        <v>485807</v>
      </c>
      <c r="G123" s="608">
        <f>SUM(G121:G122)</f>
        <v>478417</v>
      </c>
    </row>
    <row r="124" spans="2:7" s="583" customFormat="1" ht="11.1" customHeight="1" x14ac:dyDescent="0.25">
      <c r="B124" s="598"/>
      <c r="C124" s="599"/>
      <c r="D124" s="600"/>
      <c r="E124" s="655"/>
      <c r="F124" s="602"/>
      <c r="G124" s="602"/>
    </row>
    <row r="125" spans="2:7" s="583" customFormat="1" ht="15.75" x14ac:dyDescent="0.25">
      <c r="B125" s="598"/>
      <c r="C125" s="599" t="s">
        <v>758</v>
      </c>
      <c r="D125" s="600"/>
      <c r="E125" s="655" t="s">
        <v>694</v>
      </c>
      <c r="F125" s="602">
        <v>31902</v>
      </c>
      <c r="G125" s="602">
        <v>8142</v>
      </c>
    </row>
    <row r="126" spans="2:7" s="583" customFormat="1" ht="15.75" x14ac:dyDescent="0.25">
      <c r="B126" s="598"/>
      <c r="C126" s="657"/>
      <c r="D126" s="600"/>
      <c r="E126" s="655" t="s">
        <v>695</v>
      </c>
      <c r="F126" s="602">
        <v>78839</v>
      </c>
      <c r="G126" s="602">
        <v>9061</v>
      </c>
    </row>
    <row r="127" spans="2:7" s="583" customFormat="1" ht="34.5" customHeight="1" x14ac:dyDescent="0.25">
      <c r="B127" s="604" t="s">
        <v>759</v>
      </c>
      <c r="C127" s="1994" t="s">
        <v>758</v>
      </c>
      <c r="D127" s="1996"/>
      <c r="E127" s="656" t="s">
        <v>697</v>
      </c>
      <c r="F127" s="608">
        <f>SUM(F125:F126)</f>
        <v>110741</v>
      </c>
      <c r="G127" s="608">
        <f>SUM(G125:G126)</f>
        <v>17203</v>
      </c>
    </row>
    <row r="128" spans="2:7" s="583" customFormat="1" ht="11.1" customHeight="1" x14ac:dyDescent="0.25">
      <c r="B128" s="598"/>
      <c r="C128" s="599"/>
      <c r="D128" s="600"/>
      <c r="E128" s="655"/>
      <c r="F128" s="602"/>
      <c r="G128" s="602"/>
    </row>
    <row r="129" spans="2:8" s="583" customFormat="1" ht="15.75" x14ac:dyDescent="0.25">
      <c r="B129" s="598"/>
      <c r="C129" s="599" t="s">
        <v>760</v>
      </c>
      <c r="D129" s="600"/>
      <c r="E129" s="655" t="s">
        <v>694</v>
      </c>
      <c r="F129" s="602"/>
      <c r="G129" s="602"/>
    </row>
    <row r="130" spans="2:8" s="583" customFormat="1" ht="15.75" x14ac:dyDescent="0.25">
      <c r="B130" s="598"/>
      <c r="C130" s="599"/>
      <c r="D130" s="600"/>
      <c r="E130" s="655" t="s">
        <v>695</v>
      </c>
      <c r="F130" s="602"/>
      <c r="G130" s="602"/>
    </row>
    <row r="131" spans="2:8" s="583" customFormat="1" ht="15.6" customHeight="1" x14ac:dyDescent="0.25">
      <c r="B131" s="604" t="s">
        <v>761</v>
      </c>
      <c r="C131" s="605" t="s">
        <v>760</v>
      </c>
      <c r="D131" s="606"/>
      <c r="E131" s="656" t="s">
        <v>697</v>
      </c>
      <c r="F131" s="608">
        <f>SUM(F129:F130)</f>
        <v>0</v>
      </c>
      <c r="G131" s="608">
        <f>SUM(G129:G130)</f>
        <v>0</v>
      </c>
    </row>
    <row r="132" spans="2:8" s="583" customFormat="1" ht="15.75" x14ac:dyDescent="0.25">
      <c r="B132" s="598"/>
      <c r="C132" s="599"/>
      <c r="D132" s="600"/>
      <c r="E132" s="655"/>
      <c r="F132" s="602"/>
      <c r="G132" s="602"/>
    </row>
    <row r="133" spans="2:8" s="583" customFormat="1" ht="15.75" x14ac:dyDescent="0.25">
      <c r="B133" s="598"/>
      <c r="C133" s="599" t="s">
        <v>762</v>
      </c>
      <c r="D133" s="600"/>
      <c r="E133" s="655" t="s">
        <v>694</v>
      </c>
      <c r="F133" s="602">
        <f>+F121+F125+F129</f>
        <v>54424</v>
      </c>
      <c r="G133" s="602">
        <f>+G121+G125+G129</f>
        <v>27927</v>
      </c>
    </row>
    <row r="134" spans="2:8" s="583" customFormat="1" ht="16.5" thickBot="1" x14ac:dyDescent="0.3">
      <c r="B134" s="598"/>
      <c r="C134" s="599"/>
      <c r="D134" s="600"/>
      <c r="E134" s="655" t="s">
        <v>695</v>
      </c>
      <c r="F134" s="602">
        <f>+F122+F126+F130</f>
        <v>542124</v>
      </c>
      <c r="G134" s="602">
        <f>+G122+G126+G130</f>
        <v>467693</v>
      </c>
    </row>
    <row r="135" spans="2:8" s="583" customFormat="1" ht="30" customHeight="1" thickBot="1" x14ac:dyDescent="0.3">
      <c r="B135" s="644" t="s">
        <v>763</v>
      </c>
      <c r="C135" s="1997" t="s">
        <v>762</v>
      </c>
      <c r="D135" s="1998"/>
      <c r="E135" s="658" t="s">
        <v>697</v>
      </c>
      <c r="F135" s="646">
        <f>SUM(F133:F134)</f>
        <v>596548</v>
      </c>
      <c r="G135" s="646">
        <f>SUM(G133:G134)</f>
        <v>495620</v>
      </c>
    </row>
    <row r="136" spans="2:8" s="583" customFormat="1" ht="15.75" x14ac:dyDescent="0.25">
      <c r="B136" s="598"/>
      <c r="C136" s="599"/>
      <c r="D136" s="600"/>
      <c r="E136" s="655"/>
      <c r="F136" s="602"/>
      <c r="G136" s="602"/>
    </row>
    <row r="137" spans="2:8" s="583" customFormat="1" ht="15.75" x14ac:dyDescent="0.25">
      <c r="B137" s="598"/>
      <c r="C137" s="610" t="s">
        <v>689</v>
      </c>
      <c r="D137" s="600"/>
      <c r="E137" s="655" t="s">
        <v>694</v>
      </c>
      <c r="F137" s="602">
        <f>+F59+F71+F97+F113+F117+F133</f>
        <v>6220290</v>
      </c>
      <c r="G137" s="602">
        <f>+G59+G71+G97+G113+G117+G133</f>
        <v>13028530</v>
      </c>
      <c r="H137" s="622"/>
    </row>
    <row r="138" spans="2:8" s="583" customFormat="1" ht="16.5" thickBot="1" x14ac:dyDescent="0.3">
      <c r="B138" s="598"/>
      <c r="C138" s="599"/>
      <c r="D138" s="600"/>
      <c r="E138" s="655" t="s">
        <v>695</v>
      </c>
      <c r="F138" s="602">
        <f>+F60+F72+F98+F114+F118+F134</f>
        <v>109640926</v>
      </c>
      <c r="G138" s="602">
        <f>+G60+G72+G98+G114+G118+G134</f>
        <v>97528230</v>
      </c>
      <c r="H138" s="622"/>
    </row>
    <row r="139" spans="2:8" s="583" customFormat="1" ht="30" customHeight="1" thickBot="1" x14ac:dyDescent="0.3">
      <c r="B139" s="644"/>
      <c r="C139" s="1997" t="s">
        <v>764</v>
      </c>
      <c r="D139" s="1998"/>
      <c r="E139" s="658" t="s">
        <v>697</v>
      </c>
      <c r="F139" s="646">
        <f>SUM(F137:F138)</f>
        <v>115861216</v>
      </c>
      <c r="G139" s="646">
        <f>SUM(G137:G138)</f>
        <v>110556760</v>
      </c>
      <c r="H139" s="622"/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5" orientation="portrait" r:id="rId1"/>
  <headerFooter alignWithMargins="0">
    <oddHeader xml:space="preserve">&amp;R&amp;"-,Félkövér"&amp;11  &amp;12 &amp;14 23. melléklet a .../2025. (…….)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5F0C-1309-4A40-B839-65BC55E1B0A6}">
  <sheetPr>
    <tabColor theme="0"/>
  </sheetPr>
  <dimension ref="B1:I88"/>
  <sheetViews>
    <sheetView zoomScaleNormal="100" zoomScaleSheetLayoutView="75" workbookViewId="0">
      <selection activeCell="I30" sqref="I30"/>
    </sheetView>
  </sheetViews>
  <sheetFormatPr defaultColWidth="10.6640625" defaultRowHeight="14.25" x14ac:dyDescent="0.2"/>
  <cols>
    <col min="1" max="1" width="10.6640625" style="660"/>
    <col min="2" max="2" width="7.6640625" style="659" customWidth="1"/>
    <col min="3" max="3" width="10.6640625" style="660" customWidth="1"/>
    <col min="4" max="4" width="69.83203125" style="660" customWidth="1"/>
    <col min="5" max="5" width="30.33203125" style="660" customWidth="1"/>
    <col min="6" max="7" width="21.5" style="660" customWidth="1"/>
    <col min="8" max="8" width="14.6640625" style="660" bestFit="1" customWidth="1"/>
    <col min="9" max="16384" width="10.6640625" style="660"/>
  </cols>
  <sheetData>
    <row r="1" spans="2:9" ht="20.25" x14ac:dyDescent="0.3">
      <c r="F1" s="661"/>
      <c r="G1" s="582"/>
      <c r="H1" s="661"/>
    </row>
    <row r="2" spans="2:9" ht="17.25" customHeight="1" x14ac:dyDescent="0.3">
      <c r="B2" s="1866" t="s">
        <v>1121</v>
      </c>
      <c r="C2" s="1866"/>
      <c r="D2" s="1866"/>
      <c r="E2" s="1866"/>
      <c r="F2" s="1866"/>
      <c r="G2" s="1866"/>
    </row>
    <row r="3" spans="2:9" ht="20.25" customHeight="1" x14ac:dyDescent="0.3">
      <c r="B3" s="1999" t="s">
        <v>765</v>
      </c>
      <c r="C3" s="1999"/>
      <c r="D3" s="1999"/>
      <c r="E3" s="1999"/>
      <c r="F3" s="1999"/>
      <c r="G3" s="1999"/>
    </row>
    <row r="4" spans="2:9" ht="15.75" thickBot="1" x14ac:dyDescent="0.3">
      <c r="B4" s="662"/>
      <c r="C4" s="662"/>
      <c r="D4" s="662"/>
      <c r="E4" s="662"/>
      <c r="F4" s="575"/>
      <c r="G4" s="575" t="s">
        <v>14</v>
      </c>
    </row>
    <row r="5" spans="2:9" ht="20.25" customHeight="1" x14ac:dyDescent="0.25">
      <c r="B5" s="586"/>
      <c r="C5" s="2001" t="s">
        <v>28</v>
      </c>
      <c r="D5" s="2002"/>
      <c r="E5" s="652"/>
      <c r="F5" s="588" t="s">
        <v>690</v>
      </c>
      <c r="G5" s="588" t="s">
        <v>1120</v>
      </c>
    </row>
    <row r="6" spans="2:9" ht="19.5" customHeight="1" x14ac:dyDescent="0.25">
      <c r="B6" s="589"/>
      <c r="C6" s="589"/>
      <c r="D6" s="590"/>
      <c r="E6" s="653"/>
      <c r="F6" s="592" t="s">
        <v>691</v>
      </c>
      <c r="G6" s="592" t="s">
        <v>691</v>
      </c>
      <c r="I6" s="584"/>
    </row>
    <row r="7" spans="2:9" ht="16.5" customHeight="1" thickBot="1" x14ac:dyDescent="0.3">
      <c r="B7" s="593"/>
      <c r="C7" s="593"/>
      <c r="D7" s="594"/>
      <c r="E7" s="654"/>
      <c r="F7" s="596" t="s">
        <v>692</v>
      </c>
      <c r="G7" s="596" t="s">
        <v>1119</v>
      </c>
    </row>
    <row r="8" spans="2:9" ht="20.25" customHeight="1" x14ac:dyDescent="0.25">
      <c r="B8" s="609"/>
      <c r="C8" s="610"/>
      <c r="D8" s="611"/>
      <c r="E8" s="653"/>
      <c r="F8" s="612"/>
      <c r="G8" s="612"/>
    </row>
    <row r="9" spans="2:9" ht="15" x14ac:dyDescent="0.25">
      <c r="B9" s="598"/>
      <c r="C9" s="599" t="s">
        <v>766</v>
      </c>
      <c r="D9" s="600"/>
      <c r="E9" s="655" t="s">
        <v>694</v>
      </c>
      <c r="F9" s="602">
        <v>10957110</v>
      </c>
      <c r="G9" s="602">
        <v>10957110</v>
      </c>
    </row>
    <row r="10" spans="2:9" ht="15" x14ac:dyDescent="0.25">
      <c r="B10" s="598"/>
      <c r="C10" s="599"/>
      <c r="D10" s="600"/>
      <c r="E10" s="655" t="s">
        <v>695</v>
      </c>
      <c r="F10" s="602">
        <v>87533141</v>
      </c>
      <c r="G10" s="602">
        <v>87533141</v>
      </c>
    </row>
    <row r="11" spans="2:9" ht="19.5" customHeight="1" x14ac:dyDescent="0.25">
      <c r="B11" s="604" t="s">
        <v>767</v>
      </c>
      <c r="C11" s="605" t="s">
        <v>766</v>
      </c>
      <c r="D11" s="606"/>
      <c r="E11" s="656" t="s">
        <v>697</v>
      </c>
      <c r="F11" s="608">
        <f>SUM(F9:F10)</f>
        <v>98490251</v>
      </c>
      <c r="G11" s="608">
        <f>SUM(G9:G10)</f>
        <v>98490251</v>
      </c>
    </row>
    <row r="12" spans="2:9" ht="15.75" customHeight="1" x14ac:dyDescent="0.25">
      <c r="B12" s="598"/>
      <c r="C12" s="599"/>
      <c r="D12" s="600"/>
      <c r="E12" s="655"/>
      <c r="F12" s="602"/>
      <c r="G12" s="602"/>
    </row>
    <row r="13" spans="2:9" ht="15" x14ac:dyDescent="0.25">
      <c r="B13" s="598"/>
      <c r="C13" s="599" t="s">
        <v>768</v>
      </c>
      <c r="D13" s="600"/>
      <c r="E13" s="655" t="s">
        <v>694</v>
      </c>
      <c r="F13" s="602">
        <v>-2468422</v>
      </c>
      <c r="G13" s="602">
        <v>4030473</v>
      </c>
    </row>
    <row r="14" spans="2:9" ht="15" x14ac:dyDescent="0.25">
      <c r="B14" s="598"/>
      <c r="C14" s="657"/>
      <c r="D14" s="600"/>
      <c r="E14" s="655" t="s">
        <v>695</v>
      </c>
      <c r="F14" s="602">
        <v>7970395</v>
      </c>
      <c r="G14" s="602">
        <v>1473314</v>
      </c>
    </row>
    <row r="15" spans="2:9" ht="20.25" customHeight="1" x14ac:dyDescent="0.25">
      <c r="B15" s="604" t="s">
        <v>769</v>
      </c>
      <c r="C15" s="605" t="s">
        <v>768</v>
      </c>
      <c r="D15" s="606"/>
      <c r="E15" s="656" t="s">
        <v>697</v>
      </c>
      <c r="F15" s="608">
        <f>SUM(F13:F14)</f>
        <v>5501973</v>
      </c>
      <c r="G15" s="608">
        <f>SUM(G13:G14)</f>
        <v>5503787</v>
      </c>
      <c r="H15" s="663"/>
    </row>
    <row r="16" spans="2:9" ht="15" x14ac:dyDescent="0.25">
      <c r="B16" s="598"/>
      <c r="C16" s="599"/>
      <c r="D16" s="600"/>
      <c r="E16" s="655"/>
      <c r="F16" s="602"/>
      <c r="G16" s="602"/>
    </row>
    <row r="17" spans="2:7" ht="15" customHeight="1" x14ac:dyDescent="0.25">
      <c r="B17" s="598"/>
      <c r="C17" s="599" t="s">
        <v>770</v>
      </c>
      <c r="D17" s="600"/>
      <c r="E17" s="655" t="s">
        <v>694</v>
      </c>
      <c r="F17" s="602">
        <v>132915</v>
      </c>
      <c r="G17" s="602">
        <v>132915</v>
      </c>
    </row>
    <row r="18" spans="2:7" ht="15.75" customHeight="1" x14ac:dyDescent="0.25">
      <c r="B18" s="598"/>
      <c r="C18" s="599"/>
      <c r="D18" s="600"/>
      <c r="E18" s="655" t="s">
        <v>695</v>
      </c>
      <c r="F18" s="602">
        <v>788227</v>
      </c>
      <c r="G18" s="602">
        <v>788227</v>
      </c>
    </row>
    <row r="19" spans="2:7" ht="18.75" customHeight="1" x14ac:dyDescent="0.25">
      <c r="B19" s="604" t="s">
        <v>771</v>
      </c>
      <c r="C19" s="605" t="s">
        <v>770</v>
      </c>
      <c r="D19" s="606"/>
      <c r="E19" s="656" t="s">
        <v>697</v>
      </c>
      <c r="F19" s="608">
        <f>SUM(F17:F18)</f>
        <v>921142</v>
      </c>
      <c r="G19" s="608">
        <f>SUM(G17:G18)</f>
        <v>921142</v>
      </c>
    </row>
    <row r="20" spans="2:7" ht="15" x14ac:dyDescent="0.25">
      <c r="B20" s="598"/>
      <c r="C20" s="599"/>
      <c r="D20" s="600"/>
      <c r="E20" s="655"/>
      <c r="F20" s="602"/>
      <c r="G20" s="602"/>
    </row>
    <row r="21" spans="2:7" ht="15" x14ac:dyDescent="0.25">
      <c r="B21" s="598"/>
      <c r="C21" s="599" t="s">
        <v>772</v>
      </c>
      <c r="D21" s="600"/>
      <c r="E21" s="655" t="s">
        <v>694</v>
      </c>
      <c r="F21" s="602">
        <v>-3236258</v>
      </c>
      <c r="G21" s="602">
        <v>-3413179</v>
      </c>
    </row>
    <row r="22" spans="2:7" ht="15" x14ac:dyDescent="0.25">
      <c r="B22" s="598"/>
      <c r="C22" s="599"/>
      <c r="D22" s="600"/>
      <c r="E22" s="655" t="s">
        <v>695</v>
      </c>
      <c r="F22" s="602">
        <v>-12748599</v>
      </c>
      <c r="G22" s="602">
        <v>-12888391</v>
      </c>
    </row>
    <row r="23" spans="2:7" ht="18.75" customHeight="1" x14ac:dyDescent="0.25">
      <c r="B23" s="604" t="s">
        <v>773</v>
      </c>
      <c r="C23" s="605" t="s">
        <v>772</v>
      </c>
      <c r="D23" s="606"/>
      <c r="E23" s="656" t="s">
        <v>697</v>
      </c>
      <c r="F23" s="608">
        <f>SUM(F21:F22)</f>
        <v>-15984857</v>
      </c>
      <c r="G23" s="608">
        <f>SUM(G21:G22)</f>
        <v>-16301570</v>
      </c>
    </row>
    <row r="24" spans="2:7" ht="15" x14ac:dyDescent="0.25">
      <c r="B24" s="598"/>
      <c r="C24" s="599"/>
      <c r="D24" s="600"/>
      <c r="E24" s="655"/>
      <c r="F24" s="602"/>
      <c r="G24" s="602"/>
    </row>
    <row r="25" spans="2:7" ht="15" customHeight="1" x14ac:dyDescent="0.25">
      <c r="B25" s="598"/>
      <c r="C25" s="599" t="s">
        <v>774</v>
      </c>
      <c r="D25" s="600"/>
      <c r="E25" s="655" t="s">
        <v>694</v>
      </c>
      <c r="F25" s="602">
        <v>0</v>
      </c>
      <c r="G25" s="602">
        <v>0</v>
      </c>
    </row>
    <row r="26" spans="2:7" ht="15" x14ac:dyDescent="0.25">
      <c r="B26" s="598"/>
      <c r="C26" s="599"/>
      <c r="D26" s="600"/>
      <c r="E26" s="655" t="s">
        <v>695</v>
      </c>
      <c r="F26" s="602">
        <v>0</v>
      </c>
      <c r="G26" s="602">
        <v>0</v>
      </c>
    </row>
    <row r="27" spans="2:7" ht="19.5" customHeight="1" x14ac:dyDescent="0.25">
      <c r="B27" s="604" t="s">
        <v>775</v>
      </c>
      <c r="C27" s="605" t="s">
        <v>774</v>
      </c>
      <c r="D27" s="606"/>
      <c r="E27" s="656" t="s">
        <v>697</v>
      </c>
      <c r="F27" s="608">
        <f>SUM(F25:F26)</f>
        <v>0</v>
      </c>
      <c r="G27" s="608">
        <f>SUM(G25:G26)</f>
        <v>0</v>
      </c>
    </row>
    <row r="28" spans="2:7" ht="15" x14ac:dyDescent="0.25">
      <c r="B28" s="598"/>
      <c r="C28" s="599"/>
      <c r="D28" s="600"/>
      <c r="E28" s="655"/>
      <c r="F28" s="602"/>
      <c r="G28" s="602"/>
    </row>
    <row r="29" spans="2:7" ht="15" x14ac:dyDescent="0.25">
      <c r="B29" s="598"/>
      <c r="C29" s="599" t="s">
        <v>776</v>
      </c>
      <c r="D29" s="600"/>
      <c r="E29" s="655" t="s">
        <v>694</v>
      </c>
      <c r="F29" s="602">
        <v>-176921</v>
      </c>
      <c r="G29" s="602">
        <v>10050</v>
      </c>
    </row>
    <row r="30" spans="2:7" ht="15" x14ac:dyDescent="0.25">
      <c r="B30" s="598"/>
      <c r="C30" s="599"/>
      <c r="D30" s="600"/>
      <c r="E30" s="655" t="s">
        <v>695</v>
      </c>
      <c r="F30" s="602">
        <v>-139792</v>
      </c>
      <c r="G30" s="602">
        <v>-413532</v>
      </c>
    </row>
    <row r="31" spans="2:7" ht="20.25" customHeight="1" x14ac:dyDescent="0.25">
      <c r="B31" s="604" t="s">
        <v>777</v>
      </c>
      <c r="C31" s="605" t="s">
        <v>776</v>
      </c>
      <c r="D31" s="606"/>
      <c r="E31" s="656" t="s">
        <v>697</v>
      </c>
      <c r="F31" s="608">
        <f>SUM(F29:F30)</f>
        <v>-316713</v>
      </c>
      <c r="G31" s="608">
        <f>SUM(G29:G30)</f>
        <v>-403482</v>
      </c>
    </row>
    <row r="32" spans="2:7" ht="15" customHeight="1" x14ac:dyDescent="0.25">
      <c r="B32" s="609"/>
      <c r="C32" s="610"/>
      <c r="D32" s="611"/>
      <c r="E32" s="653"/>
      <c r="F32" s="612"/>
      <c r="G32" s="612"/>
    </row>
    <row r="33" spans="2:7" ht="15" x14ac:dyDescent="0.25">
      <c r="B33" s="598"/>
      <c r="C33" s="599" t="s">
        <v>778</v>
      </c>
      <c r="D33" s="600"/>
      <c r="E33" s="655" t="s">
        <v>694</v>
      </c>
      <c r="F33" s="602">
        <f>+F9+F13+F17+F21+F25+F29</f>
        <v>5208424</v>
      </c>
      <c r="G33" s="602">
        <f>+G9+G13+G17+G21+G25+G29</f>
        <v>11717369</v>
      </c>
    </row>
    <row r="34" spans="2:7" ht="15.75" thickBot="1" x14ac:dyDescent="0.3">
      <c r="B34" s="598"/>
      <c r="C34" s="599"/>
      <c r="D34" s="600"/>
      <c r="E34" s="655" t="s">
        <v>695</v>
      </c>
      <c r="F34" s="602">
        <f>+F10+F14+F18+F22+F26+F30</f>
        <v>83403372</v>
      </c>
      <c r="G34" s="602">
        <f>+G10+G14+G18+G22+G26+G30</f>
        <v>76492759</v>
      </c>
    </row>
    <row r="35" spans="2:7" ht="24" customHeight="1" thickBot="1" x14ac:dyDescent="0.3">
      <c r="B35" s="644" t="s">
        <v>779</v>
      </c>
      <c r="C35" s="1997" t="s">
        <v>780</v>
      </c>
      <c r="D35" s="1998"/>
      <c r="E35" s="658" t="s">
        <v>697</v>
      </c>
      <c r="F35" s="646">
        <f>SUM(F33:F34)</f>
        <v>88611796</v>
      </c>
      <c r="G35" s="646">
        <f>SUM(G33:G34)</f>
        <v>88210128</v>
      </c>
    </row>
    <row r="36" spans="2:7" ht="15" x14ac:dyDescent="0.25">
      <c r="B36" s="609"/>
      <c r="C36" s="610"/>
      <c r="D36" s="611"/>
      <c r="E36" s="653"/>
      <c r="F36" s="612"/>
      <c r="G36" s="612"/>
    </row>
    <row r="37" spans="2:7" ht="12" customHeight="1" x14ac:dyDescent="0.25">
      <c r="B37" s="598"/>
      <c r="C37" s="599" t="s">
        <v>781</v>
      </c>
      <c r="D37" s="600"/>
      <c r="E37" s="655" t="s">
        <v>694</v>
      </c>
      <c r="F37" s="602">
        <v>72485</v>
      </c>
      <c r="G37" s="602">
        <v>25723</v>
      </c>
    </row>
    <row r="38" spans="2:7" ht="12" customHeight="1" x14ac:dyDescent="0.25">
      <c r="B38" s="598"/>
      <c r="C38" s="599"/>
      <c r="D38" s="600"/>
      <c r="E38" s="655" t="s">
        <v>695</v>
      </c>
      <c r="F38" s="602">
        <v>393073</v>
      </c>
      <c r="G38" s="602">
        <v>261323</v>
      </c>
    </row>
    <row r="39" spans="2:7" ht="21" customHeight="1" x14ac:dyDescent="0.25">
      <c r="B39" s="604" t="s">
        <v>782</v>
      </c>
      <c r="C39" s="605" t="s">
        <v>781</v>
      </c>
      <c r="D39" s="606"/>
      <c r="E39" s="656" t="s">
        <v>697</v>
      </c>
      <c r="F39" s="608">
        <f>SUM(F37:F38)</f>
        <v>465558</v>
      </c>
      <c r="G39" s="608">
        <f>SUM(G37:G38)</f>
        <v>287046</v>
      </c>
    </row>
    <row r="40" spans="2:7" ht="12.75" customHeight="1" x14ac:dyDescent="0.25">
      <c r="B40" s="598"/>
      <c r="C40" s="599"/>
      <c r="D40" s="600"/>
      <c r="E40" s="655"/>
      <c r="F40" s="602"/>
      <c r="G40" s="602"/>
    </row>
    <row r="41" spans="2:7" ht="15" x14ac:dyDescent="0.25">
      <c r="B41" s="598"/>
      <c r="C41" s="599" t="s">
        <v>783</v>
      </c>
      <c r="D41" s="600"/>
      <c r="E41" s="655" t="s">
        <v>694</v>
      </c>
      <c r="F41" s="602">
        <v>16810</v>
      </c>
      <c r="G41" s="602">
        <v>24642</v>
      </c>
    </row>
    <row r="42" spans="2:7" ht="15" x14ac:dyDescent="0.25">
      <c r="B42" s="598"/>
      <c r="C42" s="657"/>
      <c r="D42" s="600"/>
      <c r="E42" s="655" t="s">
        <v>695</v>
      </c>
      <c r="F42" s="602">
        <v>1256361</v>
      </c>
      <c r="G42" s="602">
        <v>1116507</v>
      </c>
    </row>
    <row r="43" spans="2:7" ht="16.5" customHeight="1" x14ac:dyDescent="0.25">
      <c r="B43" s="604" t="s">
        <v>784</v>
      </c>
      <c r="C43" s="605" t="s">
        <v>783</v>
      </c>
      <c r="D43" s="606"/>
      <c r="E43" s="656" t="s">
        <v>697</v>
      </c>
      <c r="F43" s="608">
        <f>SUM(F41:F42)</f>
        <v>1273171</v>
      </c>
      <c r="G43" s="608">
        <f>SUM(G41:G42)</f>
        <v>1141149</v>
      </c>
    </row>
    <row r="44" spans="2:7" ht="15" x14ac:dyDescent="0.25">
      <c r="B44" s="598"/>
      <c r="C44" s="599"/>
      <c r="D44" s="600"/>
      <c r="E44" s="655"/>
      <c r="F44" s="602"/>
      <c r="G44" s="602"/>
    </row>
    <row r="45" spans="2:7" ht="15" customHeight="1" x14ac:dyDescent="0.25">
      <c r="B45" s="598"/>
      <c r="C45" s="599" t="s">
        <v>785</v>
      </c>
      <c r="D45" s="600"/>
      <c r="E45" s="655" t="s">
        <v>694</v>
      </c>
      <c r="F45" s="602">
        <v>6770</v>
      </c>
      <c r="G45" s="602">
        <v>20791</v>
      </c>
    </row>
    <row r="46" spans="2:7" ht="12.75" customHeight="1" x14ac:dyDescent="0.25">
      <c r="B46" s="598"/>
      <c r="C46" s="599"/>
      <c r="D46" s="600"/>
      <c r="E46" s="655" t="s">
        <v>695</v>
      </c>
      <c r="F46" s="602">
        <v>574618</v>
      </c>
      <c r="G46" s="602">
        <v>721490</v>
      </c>
    </row>
    <row r="47" spans="2:7" ht="17.25" customHeight="1" x14ac:dyDescent="0.25">
      <c r="B47" s="604" t="s">
        <v>786</v>
      </c>
      <c r="C47" s="605" t="s">
        <v>785</v>
      </c>
      <c r="D47" s="606"/>
      <c r="E47" s="656" t="s">
        <v>697</v>
      </c>
      <c r="F47" s="608">
        <f>SUM(F45:F46)</f>
        <v>581388</v>
      </c>
      <c r="G47" s="608">
        <f>SUM(G45:G46)</f>
        <v>742281</v>
      </c>
    </row>
    <row r="48" spans="2:7" ht="15" x14ac:dyDescent="0.25">
      <c r="B48" s="609"/>
      <c r="C48" s="610"/>
      <c r="D48" s="611"/>
      <c r="E48" s="653"/>
      <c r="F48" s="612"/>
      <c r="G48" s="612"/>
    </row>
    <row r="49" spans="2:7" ht="15" x14ac:dyDescent="0.25">
      <c r="B49" s="598"/>
      <c r="C49" s="599" t="s">
        <v>787</v>
      </c>
      <c r="D49" s="600"/>
      <c r="E49" s="655" t="s">
        <v>694</v>
      </c>
      <c r="F49" s="602">
        <f>+F37+F41+F45</f>
        <v>96065</v>
      </c>
      <c r="G49" s="602">
        <f>+G37+G41+G45</f>
        <v>71156</v>
      </c>
    </row>
    <row r="50" spans="2:7" ht="15.75" thickBot="1" x14ac:dyDescent="0.3">
      <c r="B50" s="598"/>
      <c r="C50" s="599"/>
      <c r="D50" s="600"/>
      <c r="E50" s="655" t="s">
        <v>695</v>
      </c>
      <c r="F50" s="602">
        <f>+F38+F42+F46</f>
        <v>2224052</v>
      </c>
      <c r="G50" s="602">
        <f>+G38+G42+G46</f>
        <v>2099320</v>
      </c>
    </row>
    <row r="51" spans="2:7" ht="21.75" customHeight="1" thickBot="1" x14ac:dyDescent="0.3">
      <c r="B51" s="644" t="s">
        <v>788</v>
      </c>
      <c r="C51" s="1997" t="s">
        <v>787</v>
      </c>
      <c r="D51" s="1998"/>
      <c r="E51" s="658" t="s">
        <v>697</v>
      </c>
      <c r="F51" s="646">
        <f>SUM(F49:F50)</f>
        <v>2320117</v>
      </c>
      <c r="G51" s="646">
        <f>SUM(G49:G50)</f>
        <v>2170476</v>
      </c>
    </row>
    <row r="52" spans="2:7" ht="12.75" customHeight="1" x14ac:dyDescent="0.25">
      <c r="B52" s="637"/>
      <c r="C52" s="638"/>
      <c r="D52" s="631"/>
      <c r="E52" s="650"/>
      <c r="F52" s="640"/>
      <c r="G52" s="640"/>
    </row>
    <row r="53" spans="2:7" ht="12.75" customHeight="1" x14ac:dyDescent="0.25">
      <c r="B53" s="637"/>
      <c r="C53" s="638"/>
      <c r="D53" s="631"/>
      <c r="E53" s="650"/>
      <c r="F53" s="640"/>
      <c r="G53" s="640"/>
    </row>
    <row r="54" spans="2:7" ht="12" customHeight="1" x14ac:dyDescent="0.25">
      <c r="B54" s="598"/>
      <c r="C54" s="599" t="s">
        <v>789</v>
      </c>
      <c r="D54" s="600"/>
      <c r="E54" s="655" t="s">
        <v>694</v>
      </c>
      <c r="F54" s="602">
        <v>0</v>
      </c>
      <c r="G54" s="602">
        <v>0</v>
      </c>
    </row>
    <row r="55" spans="2:7" ht="12" customHeight="1" thickBot="1" x14ac:dyDescent="0.3">
      <c r="B55" s="598"/>
      <c r="C55" s="599"/>
      <c r="D55" s="600"/>
      <c r="E55" s="655" t="s">
        <v>695</v>
      </c>
      <c r="F55" s="602">
        <v>0</v>
      </c>
      <c r="G55" s="602">
        <v>0</v>
      </c>
    </row>
    <row r="56" spans="2:7" ht="35.25" customHeight="1" thickBot="1" x14ac:dyDescent="0.3">
      <c r="B56" s="644" t="s">
        <v>790</v>
      </c>
      <c r="C56" s="1997" t="s">
        <v>789</v>
      </c>
      <c r="D56" s="1998"/>
      <c r="E56" s="658" t="s">
        <v>697</v>
      </c>
      <c r="F56" s="646">
        <f>SUM(F54:F55)</f>
        <v>0</v>
      </c>
      <c r="G56" s="646">
        <f>SUM(G54:G55)</f>
        <v>0</v>
      </c>
    </row>
    <row r="57" spans="2:7" ht="12" customHeight="1" x14ac:dyDescent="0.25">
      <c r="B57" s="609"/>
      <c r="C57" s="610"/>
      <c r="D57" s="611"/>
      <c r="E57" s="653"/>
      <c r="F57" s="612"/>
      <c r="G57" s="612"/>
    </row>
    <row r="58" spans="2:7" ht="15" customHeight="1" x14ac:dyDescent="0.25">
      <c r="B58" s="598"/>
      <c r="C58" s="599" t="s">
        <v>791</v>
      </c>
      <c r="D58" s="600"/>
      <c r="E58" s="655" t="s">
        <v>694</v>
      </c>
      <c r="F58" s="602">
        <v>30072</v>
      </c>
      <c r="G58" s="602">
        <v>36955</v>
      </c>
    </row>
    <row r="59" spans="2:7" ht="12.75" customHeight="1" x14ac:dyDescent="0.25">
      <c r="B59" s="598"/>
      <c r="C59" s="599"/>
      <c r="D59" s="600"/>
      <c r="E59" s="655" t="s">
        <v>695</v>
      </c>
      <c r="F59" s="602">
        <v>5504219</v>
      </c>
      <c r="G59" s="602">
        <v>5500485</v>
      </c>
    </row>
    <row r="60" spans="2:7" ht="30.75" customHeight="1" x14ac:dyDescent="0.25">
      <c r="B60" s="604" t="s">
        <v>792</v>
      </c>
      <c r="C60" s="1994" t="s">
        <v>793</v>
      </c>
      <c r="D60" s="1995"/>
      <c r="E60" s="656" t="s">
        <v>697</v>
      </c>
      <c r="F60" s="608">
        <f>SUM(F58:F59)</f>
        <v>5534291</v>
      </c>
      <c r="G60" s="608">
        <f>SUM(G58:G59)</f>
        <v>5537440</v>
      </c>
    </row>
    <row r="61" spans="2:7" ht="15" x14ac:dyDescent="0.25">
      <c r="B61" s="598"/>
      <c r="C61" s="599"/>
      <c r="D61" s="600"/>
      <c r="E61" s="655"/>
      <c r="F61" s="602"/>
      <c r="G61" s="602"/>
    </row>
    <row r="62" spans="2:7" ht="15" x14ac:dyDescent="0.25">
      <c r="B62" s="598"/>
      <c r="C62" s="599" t="s">
        <v>794</v>
      </c>
      <c r="D62" s="600"/>
      <c r="E62" s="655" t="s">
        <v>694</v>
      </c>
      <c r="F62" s="602">
        <v>882185</v>
      </c>
      <c r="G62" s="602">
        <v>1199584</v>
      </c>
    </row>
    <row r="63" spans="2:7" ht="15" x14ac:dyDescent="0.25">
      <c r="B63" s="598"/>
      <c r="C63" s="657"/>
      <c r="D63" s="600"/>
      <c r="E63" s="655" t="s">
        <v>695</v>
      </c>
      <c r="F63" s="602">
        <v>334029</v>
      </c>
      <c r="G63" s="602">
        <v>309193</v>
      </c>
    </row>
    <row r="64" spans="2:7" ht="19.5" customHeight="1" x14ac:dyDescent="0.25">
      <c r="B64" s="604" t="s">
        <v>795</v>
      </c>
      <c r="C64" s="605" t="s">
        <v>794</v>
      </c>
      <c r="D64" s="606"/>
      <c r="E64" s="656" t="s">
        <v>697</v>
      </c>
      <c r="F64" s="608">
        <f>SUM(F62:F63)</f>
        <v>1216214</v>
      </c>
      <c r="G64" s="608">
        <f>SUM(G62:G63)</f>
        <v>1508777</v>
      </c>
    </row>
    <row r="65" spans="2:7" ht="12.75" customHeight="1" x14ac:dyDescent="0.25">
      <c r="B65" s="598"/>
      <c r="C65" s="599"/>
      <c r="D65" s="600"/>
      <c r="E65" s="655"/>
      <c r="F65" s="602"/>
      <c r="G65" s="602"/>
    </row>
    <row r="66" spans="2:7" ht="15" x14ac:dyDescent="0.25">
      <c r="B66" s="598"/>
      <c r="C66" s="599" t="s">
        <v>796</v>
      </c>
      <c r="D66" s="600"/>
      <c r="E66" s="655" t="s">
        <v>694</v>
      </c>
      <c r="F66" s="602">
        <v>3544</v>
      </c>
      <c r="G66" s="602">
        <v>3466</v>
      </c>
    </row>
    <row r="67" spans="2:7" ht="15" x14ac:dyDescent="0.25">
      <c r="B67" s="598"/>
      <c r="C67" s="599"/>
      <c r="D67" s="600"/>
      <c r="E67" s="655" t="s">
        <v>695</v>
      </c>
      <c r="F67" s="602">
        <v>18175254</v>
      </c>
      <c r="G67" s="602">
        <v>13126473</v>
      </c>
    </row>
    <row r="68" spans="2:7" ht="16.5" customHeight="1" x14ac:dyDescent="0.25">
      <c r="B68" s="604" t="s">
        <v>797</v>
      </c>
      <c r="C68" s="605" t="s">
        <v>796</v>
      </c>
      <c r="D68" s="606"/>
      <c r="E68" s="656" t="s">
        <v>697</v>
      </c>
      <c r="F68" s="608">
        <f>SUM(F66:F67)</f>
        <v>18178798</v>
      </c>
      <c r="G68" s="608">
        <f>SUM(G66:G67)</f>
        <v>13129939</v>
      </c>
    </row>
    <row r="69" spans="2:7" ht="15" x14ac:dyDescent="0.25">
      <c r="B69" s="598"/>
      <c r="C69" s="599"/>
      <c r="D69" s="600"/>
      <c r="E69" s="655"/>
      <c r="F69" s="602"/>
      <c r="G69" s="602"/>
    </row>
    <row r="70" spans="2:7" ht="15" customHeight="1" x14ac:dyDescent="0.25">
      <c r="B70" s="598"/>
      <c r="C70" s="599" t="s">
        <v>798</v>
      </c>
      <c r="D70" s="600"/>
      <c r="E70" s="655" t="s">
        <v>694</v>
      </c>
      <c r="F70" s="602">
        <f>+F58+F62+F66</f>
        <v>915801</v>
      </c>
      <c r="G70" s="602">
        <f>+G58+G62+G66</f>
        <v>1240005</v>
      </c>
    </row>
    <row r="71" spans="2:7" ht="15.75" thickBot="1" x14ac:dyDescent="0.3">
      <c r="B71" s="598"/>
      <c r="C71" s="599"/>
      <c r="D71" s="600"/>
      <c r="E71" s="655" t="s">
        <v>695</v>
      </c>
      <c r="F71" s="602">
        <f>+F59+F63+F67</f>
        <v>24013502</v>
      </c>
      <c r="G71" s="602">
        <f>+G59+G63+G67</f>
        <v>18936151</v>
      </c>
    </row>
    <row r="72" spans="2:7" ht="24.75" customHeight="1" thickBot="1" x14ac:dyDescent="0.3">
      <c r="B72" s="644" t="s">
        <v>799</v>
      </c>
      <c r="C72" s="1997" t="s">
        <v>798</v>
      </c>
      <c r="D72" s="1998"/>
      <c r="E72" s="658" t="s">
        <v>697</v>
      </c>
      <c r="F72" s="646">
        <f>SUM(F70:F71)</f>
        <v>24929303</v>
      </c>
      <c r="G72" s="646">
        <f>SUM(G70:G71)</f>
        <v>20176156</v>
      </c>
    </row>
    <row r="73" spans="2:7" ht="15" x14ac:dyDescent="0.25">
      <c r="B73" s="598"/>
      <c r="C73" s="599"/>
      <c r="D73" s="600"/>
      <c r="E73" s="655"/>
      <c r="F73" s="602"/>
      <c r="G73" s="602"/>
    </row>
    <row r="74" spans="2:7" ht="15" x14ac:dyDescent="0.25">
      <c r="B74" s="598"/>
      <c r="C74" s="610" t="s">
        <v>765</v>
      </c>
      <c r="D74" s="600"/>
      <c r="E74" s="655" t="s">
        <v>694</v>
      </c>
      <c r="F74" s="602">
        <f>+F33+F49+F54+F70</f>
        <v>6220290</v>
      </c>
      <c r="G74" s="602">
        <f>+G33+G49+G54+G70</f>
        <v>13028530</v>
      </c>
    </row>
    <row r="75" spans="2:7" ht="15.75" thickBot="1" x14ac:dyDescent="0.3">
      <c r="B75" s="598"/>
      <c r="C75" s="599"/>
      <c r="D75" s="600"/>
      <c r="E75" s="655" t="s">
        <v>695</v>
      </c>
      <c r="F75" s="602">
        <f>+F34+F50+F55+F71</f>
        <v>109640926</v>
      </c>
      <c r="G75" s="602">
        <f>+G34+G50+G55+G71</f>
        <v>97528230</v>
      </c>
    </row>
    <row r="76" spans="2:7" ht="24.75" customHeight="1" thickBot="1" x14ac:dyDescent="0.3">
      <c r="B76" s="644"/>
      <c r="C76" s="1997" t="s">
        <v>800</v>
      </c>
      <c r="D76" s="1998"/>
      <c r="E76" s="658" t="s">
        <v>697</v>
      </c>
      <c r="F76" s="646">
        <f>SUM(F74:F75)</f>
        <v>115861216</v>
      </c>
      <c r="G76" s="646">
        <f>SUM(G74:G75)</f>
        <v>110556760</v>
      </c>
    </row>
    <row r="77" spans="2:7" ht="12.75" customHeight="1" x14ac:dyDescent="0.2"/>
    <row r="78" spans="2:7" x14ac:dyDescent="0.2">
      <c r="F78" s="663">
        <f>+'23 eszközök'!F139</f>
        <v>115861216</v>
      </c>
      <c r="G78" s="663">
        <f>+'23 eszközök'!G139</f>
        <v>110556760</v>
      </c>
    </row>
    <row r="79" spans="2:7" x14ac:dyDescent="0.2">
      <c r="F79" s="663">
        <f>+F76-F78</f>
        <v>0</v>
      </c>
      <c r="G79" s="663">
        <f>+G76-G78</f>
        <v>0</v>
      </c>
    </row>
    <row r="82" spans="8:8" ht="15" customHeight="1" x14ac:dyDescent="0.2"/>
    <row r="83" spans="8:8" ht="12" customHeight="1" x14ac:dyDescent="0.2"/>
    <row r="84" spans="8:8" x14ac:dyDescent="0.2">
      <c r="H84" s="663"/>
    </row>
    <row r="85" spans="8:8" x14ac:dyDescent="0.2">
      <c r="H85" s="663"/>
    </row>
    <row r="86" spans="8:8" x14ac:dyDescent="0.2">
      <c r="H86" s="663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5" orientation="portrait" r:id="rId1"/>
  <headerFooter alignWithMargins="0">
    <oddHeader>&amp;R&amp;"Arial CE,Félkövér"&amp;13 &amp;"-,Félkövér"&amp;11 &amp;14 &amp;12 24. melléklet a …/2025. (…….)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D8DF-673C-410F-9D50-4C23DF830FB7}">
  <sheetPr>
    <tabColor theme="0"/>
  </sheetPr>
  <dimension ref="B3:I358"/>
  <sheetViews>
    <sheetView zoomScale="75" zoomScaleNormal="75" workbookViewId="0">
      <selection activeCell="I30" sqref="I30"/>
    </sheetView>
  </sheetViews>
  <sheetFormatPr defaultColWidth="12" defaultRowHeight="15" x14ac:dyDescent="0.2"/>
  <cols>
    <col min="1" max="1" width="5.33203125" style="664" customWidth="1"/>
    <col min="2" max="2" width="44" style="664" customWidth="1"/>
    <col min="3" max="3" width="13.1640625" style="666" customWidth="1"/>
    <col min="4" max="4" width="63.5" style="664" customWidth="1"/>
    <col min="5" max="5" width="13.1640625" style="666" customWidth="1"/>
    <col min="6" max="6" width="15.6640625" style="664" customWidth="1"/>
    <col min="7" max="8" width="12" style="664"/>
    <col min="9" max="9" width="12" style="664" customWidth="1"/>
    <col min="10" max="16384" width="12" style="664"/>
  </cols>
  <sheetData>
    <row r="3" spans="2:6" ht="18.75" customHeight="1" x14ac:dyDescent="0.3">
      <c r="B3" s="2007" t="s">
        <v>655</v>
      </c>
      <c r="C3" s="2007"/>
      <c r="D3" s="2007"/>
      <c r="E3" s="2007"/>
      <c r="F3" s="2007"/>
    </row>
    <row r="4" spans="2:6" ht="24" customHeight="1" x14ac:dyDescent="0.3">
      <c r="B4" s="2008" t="s">
        <v>1122</v>
      </c>
      <c r="C4" s="2008"/>
      <c r="D4" s="2008"/>
      <c r="E4" s="2008"/>
      <c r="F4" s="2008"/>
    </row>
    <row r="5" spans="2:6" s="665" customFormat="1" ht="24" customHeight="1" x14ac:dyDescent="0.3">
      <c r="B5" s="2009" t="s">
        <v>801</v>
      </c>
      <c r="C5" s="2009"/>
      <c r="D5" s="2009"/>
      <c r="E5" s="2009"/>
      <c r="F5" s="2009"/>
    </row>
    <row r="6" spans="2:6" ht="18.75" x14ac:dyDescent="0.3">
      <c r="B6" s="2009" t="s">
        <v>802</v>
      </c>
      <c r="C6" s="2009"/>
      <c r="D6" s="2009"/>
      <c r="E6" s="2009"/>
      <c r="F6" s="2009"/>
    </row>
    <row r="7" spans="2:6" ht="18.75" x14ac:dyDescent="0.3">
      <c r="B7" s="2009" t="s">
        <v>803</v>
      </c>
      <c r="C7" s="2009"/>
      <c r="D7" s="2009"/>
      <c r="E7" s="2009"/>
      <c r="F7" s="2009"/>
    </row>
    <row r="8" spans="2:6" ht="19.5" thickBot="1" x14ac:dyDescent="0.35">
      <c r="B8" s="2006" t="s">
        <v>804</v>
      </c>
      <c r="C8" s="2006"/>
      <c r="D8" s="2006"/>
      <c r="E8" s="2006"/>
      <c r="F8" s="2006"/>
    </row>
    <row r="9" spans="2:6" ht="42" customHeight="1" thickBot="1" x14ac:dyDescent="0.35">
      <c r="B9" s="1073" t="s">
        <v>805</v>
      </c>
      <c r="C9" s="1074" t="s">
        <v>806</v>
      </c>
      <c r="D9" s="1075" t="s">
        <v>807</v>
      </c>
      <c r="E9" s="1076" t="s">
        <v>808</v>
      </c>
      <c r="F9" s="1077" t="s">
        <v>809</v>
      </c>
    </row>
    <row r="10" spans="2:6" ht="24.75" customHeight="1" x14ac:dyDescent="0.3">
      <c r="B10" s="1078" t="s">
        <v>810</v>
      </c>
      <c r="C10" s="1079"/>
      <c r="D10" s="1080"/>
      <c r="E10" s="1081"/>
      <c r="F10" s="1082"/>
    </row>
    <row r="11" spans="2:6" ht="17.25" x14ac:dyDescent="0.3">
      <c r="B11" s="1083" t="s">
        <v>811</v>
      </c>
      <c r="C11" s="1084">
        <v>50846</v>
      </c>
      <c r="D11" s="1085" t="s">
        <v>812</v>
      </c>
      <c r="E11" s="1086">
        <v>28873</v>
      </c>
      <c r="F11" s="1082"/>
    </row>
    <row r="12" spans="2:6" ht="17.25" x14ac:dyDescent="0.3">
      <c r="B12" s="1083"/>
      <c r="C12" s="1084"/>
      <c r="D12" s="1085" t="s">
        <v>813</v>
      </c>
      <c r="E12" s="1086">
        <v>14078</v>
      </c>
      <c r="F12" s="1082"/>
    </row>
    <row r="13" spans="2:6" ht="17.25" x14ac:dyDescent="0.3">
      <c r="B13" s="1083"/>
      <c r="C13" s="1084"/>
      <c r="D13" s="1085" t="s">
        <v>814</v>
      </c>
      <c r="E13" s="1086">
        <v>4524</v>
      </c>
      <c r="F13" s="1082"/>
    </row>
    <row r="14" spans="2:6" ht="17.25" x14ac:dyDescent="0.3">
      <c r="B14" s="1083"/>
      <c r="C14" s="1087"/>
      <c r="D14" s="1085" t="s">
        <v>815</v>
      </c>
      <c r="E14" s="1086">
        <v>1135</v>
      </c>
      <c r="F14" s="1082"/>
    </row>
    <row r="15" spans="2:6" ht="17.25" x14ac:dyDescent="0.3">
      <c r="B15" s="1083"/>
      <c r="C15" s="1087"/>
      <c r="D15" s="1085" t="s">
        <v>816</v>
      </c>
      <c r="E15" s="1086">
        <v>1500</v>
      </c>
      <c r="F15" s="1082"/>
    </row>
    <row r="16" spans="2:6" ht="17.25" x14ac:dyDescent="0.3">
      <c r="B16" s="1083"/>
      <c r="C16" s="1084"/>
      <c r="D16" s="1085" t="s">
        <v>817</v>
      </c>
      <c r="E16" s="1086">
        <v>736</v>
      </c>
      <c r="F16" s="1082"/>
    </row>
    <row r="17" spans="2:9" s="665" customFormat="1" ht="23.25" customHeight="1" thickBot="1" x14ac:dyDescent="0.35">
      <c r="B17" s="1088"/>
      <c r="C17" s="1089">
        <f>SUM(C11:C16)</f>
        <v>50846</v>
      </c>
      <c r="D17" s="1090"/>
      <c r="E17" s="1091">
        <f>SUM(E11:E16)</f>
        <v>50846</v>
      </c>
      <c r="F17" s="1092">
        <f>C17-E17</f>
        <v>0</v>
      </c>
    </row>
    <row r="18" spans="2:9" s="665" customFormat="1" ht="19.5" customHeight="1" x14ac:dyDescent="0.3">
      <c r="B18" s="1078" t="s">
        <v>818</v>
      </c>
      <c r="C18" s="1087"/>
      <c r="D18" s="1080"/>
      <c r="E18" s="1081"/>
      <c r="F18" s="1093"/>
      <c r="I18" s="664"/>
    </row>
    <row r="19" spans="2:9" ht="17.25" x14ac:dyDescent="0.3">
      <c r="B19" s="1083" t="s">
        <v>819</v>
      </c>
      <c r="C19" s="1084">
        <v>488825</v>
      </c>
      <c r="D19" s="1085" t="s">
        <v>820</v>
      </c>
      <c r="E19" s="1086">
        <v>32035</v>
      </c>
      <c r="F19" s="1082"/>
    </row>
    <row r="20" spans="2:9" ht="17.25" x14ac:dyDescent="0.3">
      <c r="B20" s="1083" t="s">
        <v>51</v>
      </c>
      <c r="C20" s="1087"/>
      <c r="D20" s="1085" t="s">
        <v>821</v>
      </c>
      <c r="E20" s="1086">
        <v>4070</v>
      </c>
      <c r="F20" s="1082"/>
      <c r="I20" s="664" t="s">
        <v>51</v>
      </c>
    </row>
    <row r="21" spans="2:9" ht="17.25" x14ac:dyDescent="0.3">
      <c r="B21" s="1083" t="s">
        <v>51</v>
      </c>
      <c r="C21" s="1087" t="s">
        <v>51</v>
      </c>
      <c r="D21" s="1085" t="s">
        <v>822</v>
      </c>
      <c r="E21" s="1086">
        <v>47933</v>
      </c>
      <c r="F21" s="1082"/>
    </row>
    <row r="22" spans="2:9" ht="17.25" x14ac:dyDescent="0.3">
      <c r="B22" s="1083"/>
      <c r="C22" s="1084"/>
      <c r="D22" s="1085" t="s">
        <v>823</v>
      </c>
      <c r="E22" s="1086">
        <v>1982</v>
      </c>
      <c r="F22" s="1082"/>
    </row>
    <row r="23" spans="2:9" ht="17.25" x14ac:dyDescent="0.3">
      <c r="B23" s="1083"/>
      <c r="C23" s="1084"/>
      <c r="D23" s="1085" t="s">
        <v>824</v>
      </c>
      <c r="E23" s="1086">
        <v>6481</v>
      </c>
      <c r="F23" s="1082"/>
    </row>
    <row r="24" spans="2:9" ht="17.25" x14ac:dyDescent="0.3">
      <c r="B24" s="1083"/>
      <c r="C24" s="1087"/>
      <c r="D24" s="1085" t="s">
        <v>825</v>
      </c>
      <c r="E24" s="1086">
        <v>6222</v>
      </c>
      <c r="F24" s="1082"/>
    </row>
    <row r="25" spans="2:9" ht="17.25" x14ac:dyDescent="0.3">
      <c r="B25" s="1083"/>
      <c r="C25" s="1084"/>
      <c r="D25" s="1085" t="s">
        <v>826</v>
      </c>
      <c r="E25" s="1086">
        <v>9089</v>
      </c>
      <c r="F25" s="1082"/>
    </row>
    <row r="26" spans="2:9" ht="17.25" x14ac:dyDescent="0.3">
      <c r="B26" s="1083"/>
      <c r="C26" s="1087"/>
      <c r="D26" s="1085" t="s">
        <v>827</v>
      </c>
      <c r="E26" s="1086">
        <v>538</v>
      </c>
      <c r="F26" s="1082"/>
    </row>
    <row r="27" spans="2:9" ht="17.25" x14ac:dyDescent="0.3">
      <c r="B27" s="1083"/>
      <c r="C27" s="1087"/>
      <c r="D27" s="1085" t="s">
        <v>828</v>
      </c>
      <c r="E27" s="1086">
        <v>729</v>
      </c>
      <c r="F27" s="1082"/>
    </row>
    <row r="28" spans="2:9" ht="17.25" x14ac:dyDescent="0.3">
      <c r="B28" s="1083"/>
      <c r="C28" s="1087"/>
      <c r="D28" s="1085" t="s">
        <v>829</v>
      </c>
      <c r="E28" s="1086">
        <f>450+21863</f>
        <v>22313</v>
      </c>
      <c r="F28" s="1082"/>
    </row>
    <row r="29" spans="2:9" ht="17.25" x14ac:dyDescent="0.3">
      <c r="B29" s="1083"/>
      <c r="C29" s="1087"/>
      <c r="D29" s="1085" t="s">
        <v>830</v>
      </c>
      <c r="E29" s="1086">
        <v>22728</v>
      </c>
      <c r="F29" s="1082"/>
    </row>
    <row r="30" spans="2:9" ht="17.25" x14ac:dyDescent="0.3">
      <c r="B30" s="1083"/>
      <c r="C30" s="1087"/>
      <c r="D30" s="1085" t="s">
        <v>831</v>
      </c>
      <c r="E30" s="1086">
        <v>17603</v>
      </c>
      <c r="F30" s="1082"/>
    </row>
    <row r="31" spans="2:9" ht="17.25" x14ac:dyDescent="0.3">
      <c r="B31" s="1083"/>
      <c r="C31" s="1084"/>
      <c r="D31" s="1085" t="s">
        <v>832</v>
      </c>
      <c r="E31" s="1086">
        <v>1126</v>
      </c>
      <c r="F31" s="1082"/>
    </row>
    <row r="32" spans="2:9" ht="17.25" x14ac:dyDescent="0.3">
      <c r="B32" s="1083"/>
      <c r="C32" s="1084"/>
      <c r="D32" s="1085" t="s">
        <v>833</v>
      </c>
      <c r="E32" s="1086">
        <v>10907</v>
      </c>
      <c r="F32" s="1082"/>
    </row>
    <row r="33" spans="2:7" ht="17.25" x14ac:dyDescent="0.3">
      <c r="B33" s="1083"/>
      <c r="C33" s="1087"/>
      <c r="D33" s="1085" t="s">
        <v>834</v>
      </c>
      <c r="E33" s="1086">
        <v>30809</v>
      </c>
      <c r="F33" s="1082"/>
    </row>
    <row r="34" spans="2:7" s="665" customFormat="1" ht="24.75" customHeight="1" thickBot="1" x14ac:dyDescent="0.35">
      <c r="B34" s="1088"/>
      <c r="C34" s="1089">
        <f>SUM(C19:C31)</f>
        <v>488825</v>
      </c>
      <c r="D34" s="1090"/>
      <c r="E34" s="1091">
        <f>SUM(E19:E33)</f>
        <v>214565</v>
      </c>
      <c r="F34" s="1092">
        <f>C34-E34</f>
        <v>274260</v>
      </c>
      <c r="G34" s="665" t="s">
        <v>51</v>
      </c>
    </row>
    <row r="35" spans="2:7" ht="18.75" customHeight="1" x14ac:dyDescent="0.3">
      <c r="B35" s="1078" t="s">
        <v>835</v>
      </c>
      <c r="C35" s="1094"/>
      <c r="D35" s="1085"/>
      <c r="E35" s="1086"/>
      <c r="F35" s="1095"/>
    </row>
    <row r="36" spans="2:7" ht="17.25" x14ac:dyDescent="0.3">
      <c r="B36" s="1083" t="s">
        <v>836</v>
      </c>
      <c r="C36" s="1084">
        <v>493187</v>
      </c>
      <c r="D36" s="1085" t="s">
        <v>837</v>
      </c>
      <c r="E36" s="1086">
        <v>9851</v>
      </c>
      <c r="F36" s="1082"/>
      <c r="G36" s="664" t="s">
        <v>51</v>
      </c>
    </row>
    <row r="37" spans="2:7" ht="17.25" x14ac:dyDescent="0.3">
      <c r="B37" s="1083" t="s">
        <v>838</v>
      </c>
      <c r="C37" s="1084">
        <v>-28127</v>
      </c>
      <c r="D37" s="1085" t="s">
        <v>839</v>
      </c>
      <c r="E37" s="1086">
        <v>19307</v>
      </c>
      <c r="F37" s="1082"/>
    </row>
    <row r="38" spans="2:7" ht="17.25" x14ac:dyDescent="0.3">
      <c r="B38" s="1083" t="s">
        <v>51</v>
      </c>
      <c r="C38" s="1087" t="s">
        <v>51</v>
      </c>
      <c r="D38" s="1085" t="s">
        <v>840</v>
      </c>
      <c r="E38" s="1086">
        <v>15266</v>
      </c>
      <c r="F38" s="1082"/>
      <c r="G38" s="664" t="s">
        <v>51</v>
      </c>
    </row>
    <row r="39" spans="2:7" ht="17.25" x14ac:dyDescent="0.3">
      <c r="B39" s="1083"/>
      <c r="C39" s="1087"/>
      <c r="D39" s="1085" t="s">
        <v>841</v>
      </c>
      <c r="E39" s="1086">
        <v>30965</v>
      </c>
      <c r="F39" s="1082"/>
      <c r="G39" s="666" t="s">
        <v>51</v>
      </c>
    </row>
    <row r="40" spans="2:7" ht="17.25" x14ac:dyDescent="0.3">
      <c r="B40" s="1083"/>
      <c r="C40" s="1087"/>
      <c r="D40" s="1085" t="s">
        <v>825</v>
      </c>
      <c r="E40" s="1086">
        <v>113</v>
      </c>
      <c r="F40" s="1082"/>
    </row>
    <row r="41" spans="2:7" ht="17.25" x14ac:dyDescent="0.3">
      <c r="B41" s="1083"/>
      <c r="C41" s="1087"/>
      <c r="D41" s="1085" t="s">
        <v>842</v>
      </c>
      <c r="E41" s="1086">
        <f>18500+69022</f>
        <v>87522</v>
      </c>
      <c r="F41" s="1082"/>
    </row>
    <row r="42" spans="2:7" ht="17.25" x14ac:dyDescent="0.3">
      <c r="B42" s="1083"/>
      <c r="C42" s="1087"/>
      <c r="D42" s="1085" t="s">
        <v>843</v>
      </c>
      <c r="E42" s="1086">
        <f>26681+18717</f>
        <v>45398</v>
      </c>
      <c r="F42" s="1082"/>
    </row>
    <row r="43" spans="2:7" ht="17.25" x14ac:dyDescent="0.3">
      <c r="B43" s="1083"/>
      <c r="C43" s="1087"/>
      <c r="D43" s="1085" t="s">
        <v>829</v>
      </c>
      <c r="E43" s="1086">
        <f>200+41364+3500</f>
        <v>45064</v>
      </c>
      <c r="F43" s="1082"/>
    </row>
    <row r="44" spans="2:7" ht="17.25" x14ac:dyDescent="0.3">
      <c r="B44" s="1083"/>
      <c r="C44" s="1087"/>
      <c r="D44" s="1085" t="s">
        <v>830</v>
      </c>
      <c r="E44" s="1086">
        <v>44264</v>
      </c>
      <c r="F44" s="1082"/>
    </row>
    <row r="45" spans="2:7" ht="17.25" x14ac:dyDescent="0.3">
      <c r="B45" s="1083"/>
      <c r="C45" s="1087"/>
      <c r="D45" s="1085" t="s">
        <v>844</v>
      </c>
      <c r="E45" s="1086">
        <f>24875+383+1163</f>
        <v>26421</v>
      </c>
      <c r="F45" s="1082"/>
    </row>
    <row r="46" spans="2:7" ht="17.25" x14ac:dyDescent="0.3">
      <c r="B46" s="1083"/>
      <c r="C46" s="1087"/>
      <c r="D46" s="1085" t="s">
        <v>845</v>
      </c>
      <c r="E46" s="1086">
        <v>960</v>
      </c>
      <c r="F46" s="1082"/>
    </row>
    <row r="47" spans="2:7" ht="17.25" x14ac:dyDescent="0.3">
      <c r="B47" s="1083"/>
      <c r="C47" s="1087"/>
      <c r="D47" s="1085" t="s">
        <v>846</v>
      </c>
      <c r="E47" s="1086">
        <v>4527</v>
      </c>
      <c r="F47" s="1082"/>
    </row>
    <row r="48" spans="2:7" s="665" customFormat="1" ht="21.75" customHeight="1" thickBot="1" x14ac:dyDescent="0.35">
      <c r="B48" s="1088"/>
      <c r="C48" s="1089">
        <f>SUM(C36:C47)</f>
        <v>465060</v>
      </c>
      <c r="D48" s="1090"/>
      <c r="E48" s="1091">
        <f>SUM(E36:E47)</f>
        <v>329658</v>
      </c>
      <c r="F48" s="1092">
        <f>F34+C48-E48</f>
        <v>409662</v>
      </c>
      <c r="G48" s="667" t="s">
        <v>51</v>
      </c>
    </row>
    <row r="49" spans="2:7" ht="20.25" customHeight="1" x14ac:dyDescent="0.3">
      <c r="B49" s="1078" t="s">
        <v>847</v>
      </c>
      <c r="C49" s="1086"/>
      <c r="D49" s="1096" t="s">
        <v>848</v>
      </c>
      <c r="E49" s="1086">
        <v>133269</v>
      </c>
      <c r="F49" s="1082"/>
      <c r="G49" s="664" t="s">
        <v>51</v>
      </c>
    </row>
    <row r="50" spans="2:7" ht="15.95" customHeight="1" x14ac:dyDescent="0.3">
      <c r="B50" s="1083" t="s">
        <v>836</v>
      </c>
      <c r="C50" s="1084">
        <v>193170</v>
      </c>
      <c r="D50" s="1085" t="s">
        <v>849</v>
      </c>
      <c r="E50" s="1086">
        <v>525</v>
      </c>
      <c r="F50" s="1082"/>
      <c r="G50" s="666" t="s">
        <v>51</v>
      </c>
    </row>
    <row r="51" spans="2:7" ht="15.95" customHeight="1" x14ac:dyDescent="0.3">
      <c r="B51" s="1083" t="s">
        <v>838</v>
      </c>
      <c r="C51" s="1084">
        <v>-4770</v>
      </c>
      <c r="D51" s="1085" t="s">
        <v>850</v>
      </c>
      <c r="E51" s="1086">
        <v>140734</v>
      </c>
      <c r="F51" s="1082"/>
    </row>
    <row r="52" spans="2:7" ht="15.95" customHeight="1" x14ac:dyDescent="0.3">
      <c r="B52" s="1083"/>
      <c r="C52" s="1087"/>
      <c r="D52" s="1085" t="s">
        <v>851</v>
      </c>
      <c r="E52" s="1086">
        <v>406</v>
      </c>
      <c r="F52" s="1082"/>
    </row>
    <row r="53" spans="2:7" ht="15.95" customHeight="1" x14ac:dyDescent="0.3">
      <c r="B53" s="1083" t="s">
        <v>852</v>
      </c>
      <c r="C53" s="1084">
        <v>5312</v>
      </c>
      <c r="D53" s="1085" t="s">
        <v>853</v>
      </c>
      <c r="E53" s="1086">
        <v>375</v>
      </c>
      <c r="F53" s="1082"/>
    </row>
    <row r="54" spans="2:7" ht="15.95" customHeight="1" x14ac:dyDescent="0.3">
      <c r="B54" s="1083"/>
      <c r="C54" s="1087"/>
      <c r="D54" s="1085" t="s">
        <v>854</v>
      </c>
      <c r="E54" s="1086">
        <f>10759+332</f>
        <v>11091</v>
      </c>
      <c r="F54" s="1082"/>
    </row>
    <row r="55" spans="2:7" ht="15.95" customHeight="1" x14ac:dyDescent="0.3">
      <c r="B55" s="1083"/>
      <c r="C55" s="1087"/>
      <c r="D55" s="1085" t="s">
        <v>855</v>
      </c>
      <c r="E55" s="1086">
        <v>4187</v>
      </c>
      <c r="F55" s="1082"/>
    </row>
    <row r="56" spans="2:7" ht="15.95" customHeight="1" x14ac:dyDescent="0.3">
      <c r="B56" s="1083"/>
      <c r="C56" s="1087"/>
      <c r="D56" s="1085" t="s">
        <v>856</v>
      </c>
      <c r="E56" s="1086">
        <v>128635</v>
      </c>
      <c r="F56" s="1082"/>
    </row>
    <row r="57" spans="2:7" ht="20.100000000000001" customHeight="1" thickBot="1" x14ac:dyDescent="0.35">
      <c r="B57" s="1088"/>
      <c r="C57" s="1089">
        <f>SUM(C50:C56)</f>
        <v>193712</v>
      </c>
      <c r="D57" s="1090"/>
      <c r="E57" s="1091">
        <f>SUM(E49:E56)</f>
        <v>419222</v>
      </c>
      <c r="F57" s="1092">
        <f>F48+C57-E57</f>
        <v>184152</v>
      </c>
    </row>
    <row r="58" spans="2:7" ht="15.95" customHeight="1" x14ac:dyDescent="0.3">
      <c r="B58" s="1078" t="s">
        <v>857</v>
      </c>
      <c r="C58" s="1086"/>
      <c r="D58" s="1096" t="s">
        <v>858</v>
      </c>
      <c r="E58" s="1086">
        <v>4152</v>
      </c>
      <c r="F58" s="1095" t="s">
        <v>51</v>
      </c>
    </row>
    <row r="59" spans="2:7" ht="15.95" customHeight="1" x14ac:dyDescent="0.3">
      <c r="B59" s="1083" t="s">
        <v>836</v>
      </c>
      <c r="C59" s="1097">
        <v>200124</v>
      </c>
      <c r="D59" s="1085" t="s">
        <v>859</v>
      </c>
      <c r="E59" s="1086">
        <v>1408</v>
      </c>
      <c r="F59" s="1082"/>
    </row>
    <row r="60" spans="2:7" ht="15.95" customHeight="1" x14ac:dyDescent="0.3">
      <c r="B60" s="1083" t="s">
        <v>838</v>
      </c>
      <c r="C60" s="1097">
        <v>-345</v>
      </c>
      <c r="D60" s="1085" t="s">
        <v>850</v>
      </c>
      <c r="E60" s="1086">
        <v>65692</v>
      </c>
      <c r="F60" s="1082"/>
    </row>
    <row r="61" spans="2:7" ht="15.95" customHeight="1" x14ac:dyDescent="0.3">
      <c r="B61" s="1083" t="s">
        <v>51</v>
      </c>
      <c r="C61" s="1097"/>
      <c r="D61" s="1085" t="s">
        <v>860</v>
      </c>
      <c r="E61" s="1086">
        <v>14958</v>
      </c>
      <c r="F61" s="1082"/>
    </row>
    <row r="62" spans="2:7" ht="15.95" customHeight="1" x14ac:dyDescent="0.3">
      <c r="B62" s="1098" t="s">
        <v>852</v>
      </c>
      <c r="C62" s="1097">
        <v>5731</v>
      </c>
      <c r="D62" s="1085" t="s">
        <v>861</v>
      </c>
      <c r="E62" s="1086">
        <v>12874</v>
      </c>
      <c r="F62" s="1082"/>
    </row>
    <row r="63" spans="2:7" ht="15.95" customHeight="1" x14ac:dyDescent="0.3">
      <c r="B63" s="1083" t="s">
        <v>51</v>
      </c>
      <c r="C63" s="1097"/>
      <c r="D63" s="1085" t="s">
        <v>862</v>
      </c>
      <c r="E63" s="1086">
        <v>20264</v>
      </c>
      <c r="F63" s="1082"/>
    </row>
    <row r="64" spans="2:7" ht="15.95" customHeight="1" x14ac:dyDescent="0.3">
      <c r="B64" s="1083"/>
      <c r="C64" s="1097"/>
      <c r="D64" s="1085" t="s">
        <v>863</v>
      </c>
      <c r="E64" s="1086">
        <v>66482</v>
      </c>
      <c r="F64" s="1082"/>
    </row>
    <row r="65" spans="2:7" ht="20.100000000000001" customHeight="1" thickBot="1" x14ac:dyDescent="0.35">
      <c r="B65" s="1088"/>
      <c r="C65" s="1099">
        <f>SUM(C58:C64)</f>
        <v>205510</v>
      </c>
      <c r="D65" s="1090"/>
      <c r="E65" s="1091">
        <f>SUM(E58:E64)</f>
        <v>185830</v>
      </c>
      <c r="F65" s="1092">
        <f>F57+C65-E65</f>
        <v>203832</v>
      </c>
    </row>
    <row r="66" spans="2:7" ht="15.95" customHeight="1" x14ac:dyDescent="0.3">
      <c r="B66" s="1078" t="s">
        <v>864</v>
      </c>
      <c r="C66" s="1100"/>
      <c r="D66" s="1096" t="s">
        <v>863</v>
      </c>
      <c r="E66" s="1086">
        <f>44950+117070</f>
        <v>162020</v>
      </c>
      <c r="F66" s="1082"/>
    </row>
    <row r="67" spans="2:7" ht="15.95" customHeight="1" x14ac:dyDescent="0.3">
      <c r="B67" s="1083" t="s">
        <v>865</v>
      </c>
      <c r="C67" s="1097">
        <v>141152</v>
      </c>
      <c r="D67" s="1085" t="s">
        <v>850</v>
      </c>
      <c r="E67" s="1086">
        <v>66926</v>
      </c>
      <c r="F67" s="1082"/>
    </row>
    <row r="68" spans="2:7" ht="15.95" customHeight="1" x14ac:dyDescent="0.3">
      <c r="B68" s="1083" t="s">
        <v>866</v>
      </c>
      <c r="C68" s="1097">
        <v>93279</v>
      </c>
      <c r="D68" s="1085" t="s">
        <v>867</v>
      </c>
      <c r="E68" s="1086">
        <v>17229</v>
      </c>
      <c r="F68" s="1082"/>
    </row>
    <row r="69" spans="2:7" ht="15.95" customHeight="1" x14ac:dyDescent="0.3">
      <c r="B69" s="1083"/>
      <c r="C69" s="1097"/>
      <c r="D69" s="1085" t="s">
        <v>868</v>
      </c>
      <c r="E69" s="1086">
        <f>4000+842+8600+169+10926</f>
        <v>24537</v>
      </c>
      <c r="F69" s="1082"/>
    </row>
    <row r="70" spans="2:7" ht="20.100000000000001" customHeight="1" thickBot="1" x14ac:dyDescent="0.35">
      <c r="B70" s="1088"/>
      <c r="C70" s="1099">
        <f>SUM(C67:C69)</f>
        <v>234431</v>
      </c>
      <c r="D70" s="1090"/>
      <c r="E70" s="1091">
        <f>SUM(E66:E69)</f>
        <v>270712</v>
      </c>
      <c r="F70" s="1092">
        <f>F65+C70-E70</f>
        <v>167551</v>
      </c>
    </row>
    <row r="71" spans="2:7" s="665" customFormat="1" ht="37.5" customHeight="1" thickBot="1" x14ac:dyDescent="0.35">
      <c r="B71" s="1073" t="s">
        <v>805</v>
      </c>
      <c r="C71" s="1074" t="s">
        <v>806</v>
      </c>
      <c r="D71" s="1075" t="s">
        <v>807</v>
      </c>
      <c r="E71" s="1076" t="s">
        <v>808</v>
      </c>
      <c r="F71" s="1077" t="s">
        <v>809</v>
      </c>
      <c r="G71" s="667"/>
    </row>
    <row r="72" spans="2:7" ht="15.95" customHeight="1" x14ac:dyDescent="0.3">
      <c r="B72" s="1101" t="s">
        <v>869</v>
      </c>
      <c r="C72" s="1102"/>
      <c r="D72" s="1103" t="s">
        <v>863</v>
      </c>
      <c r="E72" s="1104">
        <v>139680</v>
      </c>
      <c r="F72" s="1105"/>
    </row>
    <row r="73" spans="2:7" ht="15.95" customHeight="1" x14ac:dyDescent="0.3">
      <c r="B73" s="1083" t="s">
        <v>865</v>
      </c>
      <c r="C73" s="1097">
        <v>133061</v>
      </c>
      <c r="D73" s="1085" t="s">
        <v>870</v>
      </c>
      <c r="E73" s="1086">
        <v>1612</v>
      </c>
      <c r="F73" s="1082"/>
    </row>
    <row r="74" spans="2:7" ht="15.95" customHeight="1" x14ac:dyDescent="0.3">
      <c r="B74" s="1083"/>
      <c r="C74" s="1097"/>
      <c r="D74" s="1085" t="s">
        <v>850</v>
      </c>
      <c r="E74" s="1086">
        <f>14300+69001</f>
        <v>83301</v>
      </c>
      <c r="F74" s="1082"/>
    </row>
    <row r="75" spans="2:7" ht="15.95" customHeight="1" x14ac:dyDescent="0.3">
      <c r="B75" s="1083" t="s">
        <v>866</v>
      </c>
      <c r="C75" s="1097">
        <v>116625</v>
      </c>
      <c r="D75" s="1085" t="s">
        <v>867</v>
      </c>
      <c r="E75" s="1086">
        <v>14221</v>
      </c>
      <c r="F75" s="1082"/>
    </row>
    <row r="76" spans="2:7" ht="17.25" x14ac:dyDescent="0.3">
      <c r="B76" s="1083"/>
      <c r="C76" s="1097"/>
      <c r="D76" s="1085" t="s">
        <v>868</v>
      </c>
      <c r="E76" s="1086">
        <v>9144</v>
      </c>
      <c r="F76" s="1082"/>
    </row>
    <row r="77" spans="2:7" ht="20.100000000000001" customHeight="1" thickBot="1" x14ac:dyDescent="0.35">
      <c r="B77" s="1088"/>
      <c r="C77" s="1099">
        <f>SUM(C73:C76)</f>
        <v>249686</v>
      </c>
      <c r="D77" s="1090"/>
      <c r="E77" s="1091">
        <f>SUM(E72:E76)</f>
        <v>247958</v>
      </c>
      <c r="F77" s="1092">
        <f>F70+C77-E77</f>
        <v>169279</v>
      </c>
    </row>
    <row r="78" spans="2:7" ht="15.95" customHeight="1" x14ac:dyDescent="0.3">
      <c r="B78" s="1101" t="s">
        <v>871</v>
      </c>
      <c r="C78" s="1102"/>
      <c r="D78" s="1103" t="s">
        <v>863</v>
      </c>
      <c r="E78" s="1104">
        <v>96430</v>
      </c>
      <c r="F78" s="1105"/>
    </row>
    <row r="79" spans="2:7" ht="15.95" customHeight="1" x14ac:dyDescent="0.3">
      <c r="B79" s="1083" t="s">
        <v>865</v>
      </c>
      <c r="C79" s="1097">
        <v>83899</v>
      </c>
      <c r="D79" s="1085" t="s">
        <v>870</v>
      </c>
      <c r="E79" s="1086">
        <v>1263</v>
      </c>
      <c r="F79" s="1082"/>
    </row>
    <row r="80" spans="2:7" ht="15.95" customHeight="1" x14ac:dyDescent="0.3">
      <c r="B80" s="1083"/>
      <c r="C80" s="1097"/>
      <c r="D80" s="1085" t="s">
        <v>872</v>
      </c>
      <c r="E80" s="1086">
        <v>53368</v>
      </c>
      <c r="F80" s="1082"/>
    </row>
    <row r="81" spans="2:6" ht="15.95" customHeight="1" x14ac:dyDescent="0.3">
      <c r="B81" s="1083" t="s">
        <v>866</v>
      </c>
      <c r="C81" s="1097">
        <v>117221</v>
      </c>
      <c r="D81" s="1085" t="s">
        <v>873</v>
      </c>
      <c r="E81" s="1086">
        <v>81240</v>
      </c>
      <c r="F81" s="1082"/>
    </row>
    <row r="82" spans="2:6" ht="15.95" customHeight="1" x14ac:dyDescent="0.3">
      <c r="B82" s="1106"/>
      <c r="C82" s="1097"/>
      <c r="D82" s="1085" t="s">
        <v>867</v>
      </c>
      <c r="E82" s="1086">
        <v>15709</v>
      </c>
      <c r="F82" s="1082"/>
    </row>
    <row r="83" spans="2:6" ht="15.95" customHeight="1" x14ac:dyDescent="0.3">
      <c r="B83" s="1083"/>
      <c r="C83" s="1097"/>
      <c r="D83" s="1085" t="s">
        <v>874</v>
      </c>
      <c r="E83" s="1086">
        <v>5701</v>
      </c>
      <c r="F83" s="1082"/>
    </row>
    <row r="84" spans="2:6" ht="20.100000000000001" customHeight="1" thickBot="1" x14ac:dyDescent="0.35">
      <c r="B84" s="1088"/>
      <c r="C84" s="1099">
        <f>SUM(C79:C83)</f>
        <v>201120</v>
      </c>
      <c r="D84" s="1090"/>
      <c r="E84" s="1091">
        <f>SUM(E78:E83)</f>
        <v>253711</v>
      </c>
      <c r="F84" s="1092">
        <f>F77+C84-E84</f>
        <v>116688</v>
      </c>
    </row>
    <row r="85" spans="2:6" ht="15.95" customHeight="1" x14ac:dyDescent="0.3">
      <c r="B85" s="1101" t="s">
        <v>875</v>
      </c>
      <c r="C85" s="1102"/>
      <c r="D85" s="1103" t="s">
        <v>863</v>
      </c>
      <c r="E85" s="1104">
        <v>107592</v>
      </c>
      <c r="F85" s="1105"/>
    </row>
    <row r="86" spans="2:6" ht="15.95" customHeight="1" x14ac:dyDescent="0.3">
      <c r="B86" s="1083" t="s">
        <v>865</v>
      </c>
      <c r="C86" s="1097">
        <f>47847+375359</f>
        <v>423206</v>
      </c>
      <c r="D86" s="1085" t="s">
        <v>870</v>
      </c>
      <c r="E86" s="1086">
        <v>1085</v>
      </c>
      <c r="F86" s="1082"/>
    </row>
    <row r="87" spans="2:6" ht="15.95" customHeight="1" x14ac:dyDescent="0.3">
      <c r="B87" s="1083"/>
      <c r="C87" s="1097"/>
      <c r="D87" s="1085" t="s">
        <v>872</v>
      </c>
      <c r="E87" s="1086">
        <v>55184</v>
      </c>
      <c r="F87" s="1082"/>
    </row>
    <row r="88" spans="2:6" ht="15.95" customHeight="1" x14ac:dyDescent="0.3">
      <c r="B88" s="1083" t="s">
        <v>866</v>
      </c>
      <c r="C88" s="1097">
        <v>156276</v>
      </c>
      <c r="D88" s="1085" t="s">
        <v>876</v>
      </c>
      <c r="E88" s="1086">
        <f>385641+36610-220707</f>
        <v>201544</v>
      </c>
      <c r="F88" s="1082"/>
    </row>
    <row r="89" spans="2:6" ht="15.95" customHeight="1" x14ac:dyDescent="0.3">
      <c r="B89" s="1083"/>
      <c r="C89" s="1100"/>
      <c r="D89" s="1107" t="s">
        <v>867</v>
      </c>
      <c r="E89" s="1086">
        <v>10566</v>
      </c>
      <c r="F89" s="1082"/>
    </row>
    <row r="90" spans="2:6" ht="15.95" customHeight="1" x14ac:dyDescent="0.3">
      <c r="B90" s="1083"/>
      <c r="C90" s="1097"/>
      <c r="D90" s="1085" t="s">
        <v>874</v>
      </c>
      <c r="E90" s="1086">
        <v>5926</v>
      </c>
      <c r="F90" s="1082"/>
    </row>
    <row r="91" spans="2:6" ht="20.100000000000001" customHeight="1" thickBot="1" x14ac:dyDescent="0.35">
      <c r="B91" s="1088"/>
      <c r="C91" s="1099">
        <f>SUM(C86:C90)</f>
        <v>579482</v>
      </c>
      <c r="D91" s="1090"/>
      <c r="E91" s="1091">
        <f>SUM(E85:E90)</f>
        <v>381897</v>
      </c>
      <c r="F91" s="1092">
        <f>F84+C91-E91</f>
        <v>314273</v>
      </c>
    </row>
    <row r="92" spans="2:6" ht="15.95" customHeight="1" x14ac:dyDescent="0.3">
      <c r="B92" s="1078" t="s">
        <v>877</v>
      </c>
      <c r="C92" s="1097"/>
      <c r="D92" s="1085" t="s">
        <v>863</v>
      </c>
      <c r="E92" s="1086">
        <v>90541</v>
      </c>
      <c r="F92" s="1082"/>
    </row>
    <row r="93" spans="2:6" ht="15.95" customHeight="1" x14ac:dyDescent="0.3">
      <c r="B93" s="1083" t="s">
        <v>865</v>
      </c>
      <c r="C93" s="1097"/>
      <c r="D93" s="1085" t="s">
        <v>870</v>
      </c>
      <c r="E93" s="1086">
        <v>1085</v>
      </c>
      <c r="F93" s="1082"/>
    </row>
    <row r="94" spans="2:6" ht="15.95" customHeight="1" x14ac:dyDescent="0.3">
      <c r="B94" s="1083"/>
      <c r="C94" s="1097"/>
      <c r="D94" s="1085" t="s">
        <v>872</v>
      </c>
      <c r="E94" s="1086">
        <v>31851</v>
      </c>
      <c r="F94" s="1082"/>
    </row>
    <row r="95" spans="2:6" ht="15.95" customHeight="1" x14ac:dyDescent="0.3">
      <c r="B95" s="1083" t="s">
        <v>866</v>
      </c>
      <c r="C95" s="1097">
        <v>144167</v>
      </c>
      <c r="D95" s="1085" t="s">
        <v>876</v>
      </c>
      <c r="E95" s="1086">
        <v>53846</v>
      </c>
      <c r="F95" s="1082"/>
    </row>
    <row r="96" spans="2:6" ht="15.95" customHeight="1" x14ac:dyDescent="0.3">
      <c r="B96" s="1106"/>
      <c r="C96" s="1097"/>
      <c r="D96" s="1085" t="s">
        <v>867</v>
      </c>
      <c r="E96" s="1086">
        <v>635</v>
      </c>
      <c r="F96" s="1082"/>
    </row>
    <row r="97" spans="2:6" ht="15.95" customHeight="1" x14ac:dyDescent="0.3">
      <c r="B97" s="1083"/>
      <c r="C97" s="1097"/>
      <c r="D97" s="1085" t="s">
        <v>874</v>
      </c>
      <c r="E97" s="1086"/>
      <c r="F97" s="1082"/>
    </row>
    <row r="98" spans="2:6" ht="20.100000000000001" customHeight="1" thickBot="1" x14ac:dyDescent="0.35">
      <c r="B98" s="1088"/>
      <c r="C98" s="1099">
        <f>SUM(C93:C97)</f>
        <v>144167</v>
      </c>
      <c r="D98" s="1090"/>
      <c r="E98" s="1091">
        <f>SUM(E92:E97)</f>
        <v>177958</v>
      </c>
      <c r="F98" s="1092">
        <f>F91+C98-E98</f>
        <v>280482</v>
      </c>
    </row>
    <row r="99" spans="2:6" ht="15.95" customHeight="1" x14ac:dyDescent="0.3">
      <c r="B99" s="1078" t="s">
        <v>878</v>
      </c>
      <c r="C99" s="1097"/>
      <c r="D99" s="1085" t="s">
        <v>863</v>
      </c>
      <c r="E99" s="1086">
        <v>65050</v>
      </c>
      <c r="F99" s="1082"/>
    </row>
    <row r="100" spans="2:6" ht="15.95" customHeight="1" x14ac:dyDescent="0.3">
      <c r="B100" s="1083" t="s">
        <v>865</v>
      </c>
      <c r="C100" s="1097"/>
      <c r="D100" s="1085" t="s">
        <v>870</v>
      </c>
      <c r="E100" s="1086">
        <v>1085</v>
      </c>
      <c r="F100" s="1082"/>
    </row>
    <row r="101" spans="2:6" ht="15.95" customHeight="1" x14ac:dyDescent="0.3">
      <c r="B101" s="1083"/>
      <c r="C101" s="1097"/>
      <c r="D101" s="1085" t="s">
        <v>872</v>
      </c>
      <c r="E101" s="1086">
        <v>65231</v>
      </c>
      <c r="F101" s="1082"/>
    </row>
    <row r="102" spans="2:6" ht="15.95" customHeight="1" x14ac:dyDescent="0.3">
      <c r="B102" s="1083" t="s">
        <v>866</v>
      </c>
      <c r="C102" s="1097">
        <v>117418</v>
      </c>
      <c r="D102" s="1085" t="s">
        <v>879</v>
      </c>
      <c r="E102" s="1086">
        <v>87849</v>
      </c>
      <c r="F102" s="1082"/>
    </row>
    <row r="103" spans="2:6" ht="15.95" customHeight="1" x14ac:dyDescent="0.3">
      <c r="B103" s="1106"/>
      <c r="C103" s="1097"/>
      <c r="D103" s="1085" t="s">
        <v>880</v>
      </c>
      <c r="E103" s="1085">
        <v>4500</v>
      </c>
      <c r="F103" s="1082"/>
    </row>
    <row r="104" spans="2:6" ht="15.95" customHeight="1" x14ac:dyDescent="0.3">
      <c r="B104" s="1083"/>
      <c r="C104" s="1097"/>
      <c r="D104" s="1107" t="s">
        <v>867</v>
      </c>
      <c r="E104" s="1086">
        <v>638</v>
      </c>
      <c r="F104" s="1082"/>
    </row>
    <row r="105" spans="2:6" ht="15.95" customHeight="1" x14ac:dyDescent="0.3">
      <c r="B105" s="1083"/>
      <c r="C105" s="1097"/>
      <c r="D105" s="1108" t="s">
        <v>881</v>
      </c>
      <c r="E105" s="1081">
        <v>9971</v>
      </c>
      <c r="F105" s="1082"/>
    </row>
    <row r="106" spans="2:6" ht="20.100000000000001" customHeight="1" thickBot="1" x14ac:dyDescent="0.35">
      <c r="B106" s="1088"/>
      <c r="C106" s="1099">
        <f>SUM(C100:C105)</f>
        <v>117418</v>
      </c>
      <c r="D106" s="1090"/>
      <c r="E106" s="1091">
        <f>SUM(E99:E105)</f>
        <v>234324</v>
      </c>
      <c r="F106" s="1092">
        <f>F98+C106-E106</f>
        <v>163576</v>
      </c>
    </row>
    <row r="107" spans="2:6" ht="15.95" customHeight="1" x14ac:dyDescent="0.3">
      <c r="B107" s="1078" t="s">
        <v>882</v>
      </c>
      <c r="C107" s="1097"/>
      <c r="D107" s="1085" t="s">
        <v>863</v>
      </c>
      <c r="E107" s="1086">
        <v>85080</v>
      </c>
      <c r="F107" s="1082"/>
    </row>
    <row r="108" spans="2:6" ht="15.95" customHeight="1" x14ac:dyDescent="0.3">
      <c r="B108" s="1083" t="s">
        <v>865</v>
      </c>
      <c r="C108" s="1097">
        <v>22826</v>
      </c>
      <c r="D108" s="1085" t="s">
        <v>870</v>
      </c>
      <c r="E108" s="1086">
        <v>1085</v>
      </c>
      <c r="F108" s="1082"/>
    </row>
    <row r="109" spans="2:6" ht="15.95" customHeight="1" x14ac:dyDescent="0.3">
      <c r="B109" s="1083"/>
      <c r="C109" s="1097"/>
      <c r="D109" s="1085" t="s">
        <v>872</v>
      </c>
      <c r="E109" s="1086">
        <v>53128</v>
      </c>
      <c r="F109" s="1082"/>
    </row>
    <row r="110" spans="2:6" ht="15.95" customHeight="1" x14ac:dyDescent="0.3">
      <c r="B110" s="1083" t="s">
        <v>866</v>
      </c>
      <c r="C110" s="1097">
        <v>114943</v>
      </c>
      <c r="D110" s="1085" t="s">
        <v>883</v>
      </c>
      <c r="E110" s="1086">
        <v>4849</v>
      </c>
      <c r="F110" s="1082"/>
    </row>
    <row r="111" spans="2:6" ht="15.95" customHeight="1" x14ac:dyDescent="0.3">
      <c r="B111" s="1106"/>
      <c r="C111" s="1097"/>
      <c r="D111" s="1085" t="s">
        <v>880</v>
      </c>
      <c r="E111" s="1086">
        <f>26500+42546</f>
        <v>69046</v>
      </c>
      <c r="F111" s="1082"/>
    </row>
    <row r="112" spans="2:6" ht="15.95" customHeight="1" x14ac:dyDescent="0.3">
      <c r="B112" s="1083"/>
      <c r="C112" s="1097"/>
      <c r="D112" s="1085" t="s">
        <v>884</v>
      </c>
      <c r="E112" s="1086">
        <v>792</v>
      </c>
      <c r="F112" s="1082"/>
    </row>
    <row r="113" spans="2:7" ht="15.95" customHeight="1" x14ac:dyDescent="0.3">
      <c r="B113" s="1083"/>
      <c r="C113" s="1097"/>
      <c r="D113" s="1108" t="s">
        <v>881</v>
      </c>
      <c r="E113" s="1081">
        <f>113+4233</f>
        <v>4346</v>
      </c>
      <c r="F113" s="1082"/>
    </row>
    <row r="114" spans="2:7" ht="20.100000000000001" customHeight="1" thickBot="1" x14ac:dyDescent="0.35">
      <c r="B114" s="1088"/>
      <c r="C114" s="1099">
        <f>SUM(C108:C113)</f>
        <v>137769</v>
      </c>
      <c r="D114" s="1090"/>
      <c r="E114" s="1091">
        <f>SUM(E107:E113)</f>
        <v>218326</v>
      </c>
      <c r="F114" s="1092">
        <f>F106+C114-E114</f>
        <v>83019</v>
      </c>
    </row>
    <row r="115" spans="2:7" ht="17.25" x14ac:dyDescent="0.3">
      <c r="B115" s="1078" t="s">
        <v>885</v>
      </c>
      <c r="C115" s="1097"/>
      <c r="D115" s="1085" t="s">
        <v>863</v>
      </c>
      <c r="E115" s="1086">
        <v>68260</v>
      </c>
      <c r="F115" s="1082"/>
    </row>
    <row r="116" spans="2:7" ht="17.25" x14ac:dyDescent="0.3">
      <c r="B116" s="1083" t="s">
        <v>865</v>
      </c>
      <c r="C116" s="1097"/>
      <c r="D116" s="1085" t="s">
        <v>870</v>
      </c>
      <c r="E116" s="1086">
        <v>1085</v>
      </c>
      <c r="F116" s="1082"/>
    </row>
    <row r="117" spans="2:7" ht="17.25" x14ac:dyDescent="0.3">
      <c r="B117" s="1083"/>
      <c r="C117" s="1097"/>
      <c r="D117" s="1085" t="s">
        <v>872</v>
      </c>
      <c r="E117" s="1086">
        <v>34439</v>
      </c>
      <c r="F117" s="1082"/>
    </row>
    <row r="118" spans="2:7" ht="17.25" x14ac:dyDescent="0.3">
      <c r="B118" s="1083" t="s">
        <v>866</v>
      </c>
      <c r="C118" s="1097">
        <v>109083</v>
      </c>
      <c r="D118" s="1085" t="s">
        <v>880</v>
      </c>
      <c r="E118" s="1086">
        <f>18655+679</f>
        <v>19334</v>
      </c>
      <c r="F118" s="1082"/>
    </row>
    <row r="119" spans="2:7" ht="17.25" x14ac:dyDescent="0.3">
      <c r="B119" s="1106"/>
      <c r="C119" s="1097"/>
      <c r="D119" s="1085" t="s">
        <v>884</v>
      </c>
      <c r="E119" s="1086">
        <v>526</v>
      </c>
      <c r="F119" s="1082"/>
    </row>
    <row r="120" spans="2:7" ht="17.25" x14ac:dyDescent="0.3">
      <c r="B120" s="1083"/>
      <c r="C120" s="1097"/>
      <c r="D120" s="1108" t="s">
        <v>881</v>
      </c>
      <c r="E120" s="1081">
        <v>81239</v>
      </c>
      <c r="F120" s="1082"/>
    </row>
    <row r="121" spans="2:7" ht="18" thickBot="1" x14ac:dyDescent="0.35">
      <c r="B121" s="1088"/>
      <c r="C121" s="1099">
        <f>SUM(C116:C120)</f>
        <v>109083</v>
      </c>
      <c r="D121" s="1090"/>
      <c r="E121" s="1091">
        <f>SUM(E115:E120)</f>
        <v>204883</v>
      </c>
      <c r="F121" s="1092">
        <f>F114+C121-E121</f>
        <v>-12781</v>
      </c>
    </row>
    <row r="122" spans="2:7" ht="17.25" x14ac:dyDescent="0.3">
      <c r="B122" s="1078" t="s">
        <v>886</v>
      </c>
      <c r="C122" s="1097"/>
      <c r="D122" s="1085" t="s">
        <v>863</v>
      </c>
      <c r="E122" s="1086">
        <v>13900</v>
      </c>
      <c r="F122" s="1082"/>
    </row>
    <row r="123" spans="2:7" ht="17.25" x14ac:dyDescent="0.3">
      <c r="B123" s="1083" t="s">
        <v>865</v>
      </c>
      <c r="C123" s="1097"/>
      <c r="D123" s="1085" t="s">
        <v>870</v>
      </c>
      <c r="E123" s="1086">
        <v>1085</v>
      </c>
      <c r="F123" s="1082"/>
    </row>
    <row r="124" spans="2:7" ht="17.25" x14ac:dyDescent="0.3">
      <c r="B124" s="1083"/>
      <c r="C124" s="1097"/>
      <c r="D124" s="1085" t="s">
        <v>872</v>
      </c>
      <c r="E124" s="1086">
        <v>18194</v>
      </c>
      <c r="F124" s="1082"/>
    </row>
    <row r="125" spans="2:7" ht="17.25" x14ac:dyDescent="0.3">
      <c r="B125" s="1083" t="s">
        <v>866</v>
      </c>
      <c r="C125" s="1097">
        <v>97239</v>
      </c>
      <c r="D125" s="1085" t="s">
        <v>880</v>
      </c>
      <c r="E125" s="1086">
        <v>14103</v>
      </c>
      <c r="F125" s="1082"/>
    </row>
    <row r="126" spans="2:7" ht="17.25" x14ac:dyDescent="0.3">
      <c r="B126" s="1106"/>
      <c r="C126" s="1097"/>
      <c r="D126" s="1085" t="s">
        <v>884</v>
      </c>
      <c r="E126" s="1086">
        <v>206</v>
      </c>
      <c r="F126" s="1082"/>
      <c r="G126" s="668"/>
    </row>
    <row r="127" spans="2:7" ht="17.25" x14ac:dyDescent="0.3">
      <c r="B127" s="1083"/>
      <c r="C127" s="1097"/>
      <c r="D127" s="1108" t="s">
        <v>881</v>
      </c>
      <c r="E127" s="1081">
        <f>205083+3377</f>
        <v>208460</v>
      </c>
      <c r="F127" s="1082"/>
    </row>
    <row r="128" spans="2:7" ht="18" thickBot="1" x14ac:dyDescent="0.35">
      <c r="B128" s="1088"/>
      <c r="C128" s="1099">
        <f>SUM(C123:C127)</f>
        <v>97239</v>
      </c>
      <c r="D128" s="1090"/>
      <c r="E128" s="1091">
        <f>SUM(E122:E127)</f>
        <v>255948</v>
      </c>
      <c r="F128" s="1092">
        <f>F121+C128-E128</f>
        <v>-171490</v>
      </c>
    </row>
    <row r="129" spans="2:7" ht="17.25" x14ac:dyDescent="0.3">
      <c r="B129" s="1078" t="s">
        <v>887</v>
      </c>
      <c r="C129" s="1097"/>
      <c r="D129" s="1085" t="s">
        <v>863</v>
      </c>
      <c r="E129" s="1086">
        <v>1100</v>
      </c>
      <c r="F129" s="1082"/>
    </row>
    <row r="130" spans="2:7" ht="17.25" x14ac:dyDescent="0.3">
      <c r="B130" s="1083" t="s">
        <v>865</v>
      </c>
      <c r="C130" s="1097"/>
      <c r="D130" s="1085" t="s">
        <v>888</v>
      </c>
      <c r="E130" s="1086">
        <v>17241</v>
      </c>
      <c r="F130" s="1082"/>
    </row>
    <row r="131" spans="2:7" ht="34.5" x14ac:dyDescent="0.3">
      <c r="B131" s="1083"/>
      <c r="C131" s="1097"/>
      <c r="D131" s="1109" t="s">
        <v>889</v>
      </c>
      <c r="E131" s="1086">
        <v>52</v>
      </c>
      <c r="F131" s="1082"/>
    </row>
    <row r="132" spans="2:7" ht="17.25" x14ac:dyDescent="0.3">
      <c r="B132" s="1083" t="s">
        <v>866</v>
      </c>
      <c r="C132" s="1110">
        <v>82793</v>
      </c>
      <c r="D132" s="1085" t="s">
        <v>884</v>
      </c>
      <c r="E132" s="1086">
        <v>658</v>
      </c>
      <c r="F132" s="1082"/>
    </row>
    <row r="133" spans="2:7" ht="17.25" x14ac:dyDescent="0.3">
      <c r="B133" s="1106"/>
      <c r="C133" s="1097"/>
      <c r="D133" s="1108" t="s">
        <v>881</v>
      </c>
      <c r="E133" s="1081">
        <f>1029+305355</f>
        <v>306384</v>
      </c>
      <c r="F133" s="1082"/>
    </row>
    <row r="134" spans="2:7" ht="18" thickBot="1" x14ac:dyDescent="0.35">
      <c r="B134" s="1088"/>
      <c r="C134" s="1099">
        <f>SUM(C130:C133)</f>
        <v>82793</v>
      </c>
      <c r="D134" s="1090"/>
      <c r="E134" s="1091">
        <f>SUM(E129:E133)</f>
        <v>325435</v>
      </c>
      <c r="F134" s="1092">
        <f>F128+C134-E134</f>
        <v>-414132</v>
      </c>
    </row>
    <row r="135" spans="2:7" s="665" customFormat="1" ht="37.5" customHeight="1" thickBot="1" x14ac:dyDescent="0.35">
      <c r="B135" s="1073" t="s">
        <v>805</v>
      </c>
      <c r="C135" s="1074" t="s">
        <v>806</v>
      </c>
      <c r="D135" s="1075" t="s">
        <v>807</v>
      </c>
      <c r="E135" s="1076" t="s">
        <v>808</v>
      </c>
      <c r="F135" s="1077" t="s">
        <v>809</v>
      </c>
      <c r="G135" s="667"/>
    </row>
    <row r="136" spans="2:7" ht="17.25" x14ac:dyDescent="0.3">
      <c r="B136" s="1078" t="s">
        <v>890</v>
      </c>
      <c r="C136" s="1097"/>
      <c r="D136" s="1085" t="s">
        <v>863</v>
      </c>
      <c r="E136" s="1086"/>
      <c r="F136" s="1082"/>
    </row>
    <row r="137" spans="2:7" ht="17.25" x14ac:dyDescent="0.3">
      <c r="B137" s="1083" t="s">
        <v>865</v>
      </c>
      <c r="C137" s="1097"/>
      <c r="D137" s="1085" t="s">
        <v>888</v>
      </c>
      <c r="E137" s="1086">
        <v>15156</v>
      </c>
      <c r="F137" s="1082"/>
    </row>
    <row r="138" spans="2:7" ht="34.5" x14ac:dyDescent="0.3">
      <c r="B138" s="1083"/>
      <c r="C138" s="1097"/>
      <c r="D138" s="1109" t="s">
        <v>889</v>
      </c>
      <c r="E138" s="1086">
        <v>2076</v>
      </c>
      <c r="F138" s="1082"/>
    </row>
    <row r="139" spans="2:7" ht="17.25" x14ac:dyDescent="0.3">
      <c r="B139" s="1083" t="s">
        <v>866</v>
      </c>
      <c r="C139" s="1110">
        <v>70598</v>
      </c>
      <c r="D139" s="1085" t="s">
        <v>884</v>
      </c>
      <c r="E139" s="1086">
        <v>39</v>
      </c>
      <c r="F139" s="1082"/>
    </row>
    <row r="140" spans="2:7" ht="17.25" x14ac:dyDescent="0.3">
      <c r="B140" s="1106"/>
      <c r="C140" s="1097"/>
      <c r="D140" s="1108" t="s">
        <v>881</v>
      </c>
      <c r="E140" s="1081">
        <f>861+4013+59376+1135</f>
        <v>65385</v>
      </c>
      <c r="F140" s="1082"/>
    </row>
    <row r="141" spans="2:7" ht="18" thickBot="1" x14ac:dyDescent="0.35">
      <c r="B141" s="1088"/>
      <c r="C141" s="1099">
        <f>SUM(C137:C139)</f>
        <v>70598</v>
      </c>
      <c r="D141" s="1090"/>
      <c r="E141" s="1091">
        <f>SUM(E136:E140)</f>
        <v>82656</v>
      </c>
      <c r="F141" s="1092">
        <f>F134+C141-E141</f>
        <v>-426190</v>
      </c>
    </row>
    <row r="142" spans="2:7" ht="17.25" x14ac:dyDescent="0.3">
      <c r="B142" s="1078" t="s">
        <v>891</v>
      </c>
      <c r="C142" s="1097"/>
      <c r="D142" s="1085" t="s">
        <v>863</v>
      </c>
      <c r="E142" s="1086"/>
      <c r="F142" s="1082"/>
    </row>
    <row r="143" spans="2:7" ht="17.25" x14ac:dyDescent="0.3">
      <c r="B143" s="1083" t="s">
        <v>865</v>
      </c>
      <c r="C143" s="1097"/>
      <c r="D143" s="1085" t="s">
        <v>888</v>
      </c>
      <c r="E143" s="1086"/>
      <c r="F143" s="1082"/>
    </row>
    <row r="144" spans="2:7" ht="34.5" x14ac:dyDescent="0.3">
      <c r="B144" s="1083"/>
      <c r="C144" s="1097"/>
      <c r="D144" s="1109" t="s">
        <v>889</v>
      </c>
      <c r="E144" s="1086">
        <v>1845</v>
      </c>
      <c r="F144" s="1082"/>
      <c r="G144" s="668"/>
    </row>
    <row r="145" spans="2:9" ht="17.25" x14ac:dyDescent="0.3">
      <c r="B145" s="1083" t="s">
        <v>866</v>
      </c>
      <c r="C145" s="1110">
        <v>58874</v>
      </c>
      <c r="D145" s="1085" t="s">
        <v>884</v>
      </c>
      <c r="E145" s="1086">
        <v>73</v>
      </c>
      <c r="F145" s="1082"/>
    </row>
    <row r="146" spans="2:9" ht="17.25" x14ac:dyDescent="0.3">
      <c r="B146" s="1106"/>
      <c r="C146" s="1097"/>
      <c r="D146" s="1108" t="s">
        <v>881</v>
      </c>
      <c r="E146" s="1081">
        <v>0</v>
      </c>
      <c r="F146" s="1082"/>
    </row>
    <row r="147" spans="2:9" ht="18" thickBot="1" x14ac:dyDescent="0.35">
      <c r="B147" s="1088"/>
      <c r="C147" s="1099">
        <f>SUM(C143:C145)</f>
        <v>58874</v>
      </c>
      <c r="D147" s="1090"/>
      <c r="E147" s="1091">
        <f>SUM(E142:E146)</f>
        <v>1918</v>
      </c>
      <c r="F147" s="1092">
        <f>F141+C147-E147</f>
        <v>-369234</v>
      </c>
      <c r="G147"/>
      <c r="H147"/>
      <c r="I147"/>
    </row>
    <row r="148" spans="2:9" ht="17.25" x14ac:dyDescent="0.3">
      <c r="B148" s="1078" t="s">
        <v>892</v>
      </c>
      <c r="C148" s="1097"/>
      <c r="D148" s="1085"/>
      <c r="E148" s="1086"/>
      <c r="F148" s="1082"/>
      <c r="G148"/>
      <c r="H148"/>
      <c r="I148"/>
    </row>
    <row r="149" spans="2:9" ht="17.25" x14ac:dyDescent="0.3">
      <c r="B149" s="1083" t="s">
        <v>865</v>
      </c>
      <c r="C149" s="1097"/>
      <c r="D149" s="1085" t="s">
        <v>893</v>
      </c>
      <c r="E149" s="1086">
        <v>49982</v>
      </c>
      <c r="F149" s="1082"/>
      <c r="G149" s="669"/>
      <c r="H149"/>
      <c r="I149"/>
    </row>
    <row r="150" spans="2:9" ht="17.25" x14ac:dyDescent="0.3">
      <c r="B150" s="1083"/>
      <c r="C150" s="1097"/>
      <c r="D150" s="1109" t="s">
        <v>894</v>
      </c>
      <c r="E150" s="1086">
        <v>19718</v>
      </c>
      <c r="F150" s="1082"/>
      <c r="G150"/>
      <c r="H150"/>
      <c r="I150"/>
    </row>
    <row r="151" spans="2:9" ht="17.25" x14ac:dyDescent="0.3">
      <c r="B151" s="1083" t="s">
        <v>866</v>
      </c>
      <c r="C151" s="1110">
        <v>62648</v>
      </c>
      <c r="D151" s="1085" t="s">
        <v>884</v>
      </c>
      <c r="E151" s="1086"/>
      <c r="F151" s="1082"/>
      <c r="G151" s="669"/>
      <c r="H151"/>
      <c r="I151"/>
    </row>
    <row r="152" spans="2:9" ht="17.25" x14ac:dyDescent="0.3">
      <c r="B152" s="1106"/>
      <c r="C152" s="1097"/>
      <c r="D152" s="1108" t="s">
        <v>881</v>
      </c>
      <c r="E152" s="1081">
        <v>0</v>
      </c>
      <c r="F152" s="1082"/>
      <c r="G152"/>
      <c r="H152"/>
      <c r="I152"/>
    </row>
    <row r="153" spans="2:9" ht="18" thickBot="1" x14ac:dyDescent="0.35">
      <c r="B153" s="1088"/>
      <c r="C153" s="1099">
        <f>SUM(C149:C151)</f>
        <v>62648</v>
      </c>
      <c r="D153" s="1090"/>
      <c r="E153" s="1091">
        <f>SUM(E148:E152)</f>
        <v>69700</v>
      </c>
      <c r="F153" s="1092">
        <f>F147+C153-E153</f>
        <v>-376286</v>
      </c>
      <c r="G153"/>
      <c r="H153"/>
      <c r="I153"/>
    </row>
    <row r="154" spans="2:9" ht="17.25" x14ac:dyDescent="0.3">
      <c r="B154" s="1101" t="s">
        <v>895</v>
      </c>
      <c r="C154" s="1102"/>
      <c r="D154" s="1103"/>
      <c r="E154" s="1104"/>
      <c r="F154" s="1105"/>
      <c r="G154"/>
      <c r="H154"/>
      <c r="I154"/>
    </row>
    <row r="155" spans="2:9" ht="17.25" x14ac:dyDescent="0.3">
      <c r="B155" s="1083" t="s">
        <v>865</v>
      </c>
      <c r="C155" s="1097">
        <v>26046</v>
      </c>
      <c r="D155" s="1109" t="s">
        <v>894</v>
      </c>
      <c r="E155" s="1086">
        <v>19764</v>
      </c>
      <c r="F155" s="1082"/>
      <c r="G155"/>
      <c r="H155"/>
      <c r="I155"/>
    </row>
    <row r="156" spans="2:9" ht="17.25" x14ac:dyDescent="0.3">
      <c r="B156" s="1083"/>
      <c r="C156" s="1097"/>
      <c r="D156" s="1111" t="s">
        <v>881</v>
      </c>
      <c r="E156" s="1086">
        <v>4</v>
      </c>
      <c r="F156" s="1082"/>
      <c r="G156"/>
      <c r="H156"/>
      <c r="I156"/>
    </row>
    <row r="157" spans="2:9" ht="17.25" x14ac:dyDescent="0.3">
      <c r="B157" s="1083" t="s">
        <v>866</v>
      </c>
      <c r="C157" s="1110">
        <v>50065</v>
      </c>
      <c r="D157" s="1085" t="s">
        <v>896</v>
      </c>
      <c r="E157" s="1086">
        <v>2366</v>
      </c>
      <c r="F157" s="1082"/>
      <c r="G157"/>
      <c r="H157"/>
      <c r="I157"/>
    </row>
    <row r="158" spans="2:9" ht="17.25" x14ac:dyDescent="0.3">
      <c r="B158" s="1106"/>
      <c r="C158" s="1097"/>
      <c r="D158" s="1108"/>
      <c r="E158" s="1081"/>
      <c r="F158" s="1082"/>
      <c r="G158"/>
      <c r="H158"/>
      <c r="I158"/>
    </row>
    <row r="159" spans="2:9" ht="18" thickBot="1" x14ac:dyDescent="0.35">
      <c r="B159" s="1088"/>
      <c r="C159" s="1099">
        <f>SUM(C155:C158)</f>
        <v>76111</v>
      </c>
      <c r="D159" s="1090"/>
      <c r="E159" s="1091">
        <f>SUM(E155:E158)</f>
        <v>22134</v>
      </c>
      <c r="F159" s="1092">
        <f>+F153+C159-E159</f>
        <v>-322309</v>
      </c>
      <c r="G159"/>
      <c r="H159"/>
      <c r="I159"/>
    </row>
    <row r="160" spans="2:9" ht="17.25" x14ac:dyDescent="0.3">
      <c r="B160" s="1101" t="s">
        <v>897</v>
      </c>
      <c r="C160" s="1102"/>
      <c r="D160" s="1103"/>
      <c r="E160" s="1104"/>
      <c r="F160" s="1112"/>
      <c r="G160"/>
      <c r="H160"/>
      <c r="I160"/>
    </row>
    <row r="161" spans="2:9" ht="17.25" x14ac:dyDescent="0.3">
      <c r="B161" s="1083" t="s">
        <v>865</v>
      </c>
      <c r="C161" s="1097">
        <v>74316</v>
      </c>
      <c r="D161" s="1109" t="s">
        <v>894</v>
      </c>
      <c r="E161" s="1086">
        <v>23662</v>
      </c>
      <c r="F161" s="1113"/>
      <c r="G161"/>
      <c r="H161"/>
      <c r="I161"/>
    </row>
    <row r="162" spans="2:9" ht="17.25" x14ac:dyDescent="0.3">
      <c r="B162" s="1083"/>
      <c r="C162" s="1097"/>
      <c r="D162" s="1111" t="s">
        <v>881</v>
      </c>
      <c r="E162" s="1086">
        <v>1948</v>
      </c>
      <c r="F162" s="1113"/>
      <c r="G162"/>
      <c r="H162"/>
      <c r="I162"/>
    </row>
    <row r="163" spans="2:9" ht="17.25" x14ac:dyDescent="0.3">
      <c r="B163" s="1083" t="s">
        <v>866</v>
      </c>
      <c r="C163" s="1110">
        <v>40185</v>
      </c>
      <c r="D163" s="1085" t="s">
        <v>896</v>
      </c>
      <c r="E163" s="1086">
        <v>1953</v>
      </c>
      <c r="F163" s="1113"/>
      <c r="G163"/>
      <c r="H163"/>
      <c r="I163"/>
    </row>
    <row r="164" spans="2:9" ht="17.25" x14ac:dyDescent="0.3">
      <c r="B164" s="1114"/>
      <c r="C164" s="1115"/>
      <c r="D164" s="1116"/>
      <c r="E164" s="1117"/>
      <c r="F164" s="1118"/>
      <c r="G164"/>
      <c r="H164"/>
      <c r="I164"/>
    </row>
    <row r="165" spans="2:9" ht="18" thickBot="1" x14ac:dyDescent="0.35">
      <c r="B165" s="1119"/>
      <c r="C165" s="1120">
        <f>SUM(C161:C164)</f>
        <v>114501</v>
      </c>
      <c r="D165" s="1121"/>
      <c r="E165" s="1122">
        <f>SUM(E161:E164)</f>
        <v>27563</v>
      </c>
      <c r="F165" s="1123">
        <f>+F159+C165-E165</f>
        <v>-235371</v>
      </c>
      <c r="G165"/>
      <c r="H165"/>
      <c r="I165"/>
    </row>
    <row r="166" spans="2:9" ht="17.25" x14ac:dyDescent="0.3">
      <c r="B166" s="1101" t="s">
        <v>898</v>
      </c>
      <c r="C166" s="1102"/>
      <c r="D166" s="1103"/>
      <c r="E166" s="1104"/>
      <c r="F166" s="1112"/>
      <c r="G166"/>
      <c r="H166"/>
      <c r="I166"/>
    </row>
    <row r="167" spans="2:9" ht="17.25" x14ac:dyDescent="0.3">
      <c r="B167" s="1083" t="s">
        <v>865</v>
      </c>
      <c r="C167" s="1097">
        <v>78723</v>
      </c>
      <c r="D167" s="1109" t="s">
        <v>894</v>
      </c>
      <c r="E167" s="1086">
        <v>29980</v>
      </c>
      <c r="F167" s="1113"/>
      <c r="G167"/>
      <c r="H167"/>
      <c r="I167"/>
    </row>
    <row r="168" spans="2:9" ht="17.25" x14ac:dyDescent="0.3">
      <c r="B168" s="1083"/>
      <c r="C168" s="1097"/>
      <c r="D168" s="1111" t="s">
        <v>881</v>
      </c>
      <c r="E168" s="1086">
        <v>3028</v>
      </c>
      <c r="F168" s="1113"/>
      <c r="G168"/>
      <c r="H168"/>
      <c r="I168"/>
    </row>
    <row r="169" spans="2:9" ht="17.25" x14ac:dyDescent="0.3">
      <c r="B169" s="1083" t="s">
        <v>866</v>
      </c>
      <c r="C169" s="1110">
        <v>31847</v>
      </c>
      <c r="D169" s="1085" t="s">
        <v>896</v>
      </c>
      <c r="E169" s="1086">
        <v>1895</v>
      </c>
      <c r="F169" s="1113"/>
      <c r="G169"/>
      <c r="H169"/>
      <c r="I169"/>
    </row>
    <row r="170" spans="2:9" ht="17.25" x14ac:dyDescent="0.3">
      <c r="B170" s="1083"/>
      <c r="C170" s="1110"/>
      <c r="D170" s="1085" t="s">
        <v>899</v>
      </c>
      <c r="E170" s="1086">
        <v>25575</v>
      </c>
      <c r="F170" s="1113"/>
      <c r="G170"/>
      <c r="H170"/>
      <c r="I170"/>
    </row>
    <row r="171" spans="2:9" ht="17.25" x14ac:dyDescent="0.3">
      <c r="B171" s="1083"/>
      <c r="C171" s="1110"/>
      <c r="D171" s="1085" t="s">
        <v>900</v>
      </c>
      <c r="E171" s="1086">
        <v>16000</v>
      </c>
      <c r="F171" s="1113"/>
      <c r="G171"/>
      <c r="H171"/>
      <c r="I171"/>
    </row>
    <row r="172" spans="2:9" ht="17.25" x14ac:dyDescent="0.3">
      <c r="B172" s="1114"/>
      <c r="C172" s="1115"/>
      <c r="D172" s="1116"/>
      <c r="E172" s="1117"/>
      <c r="F172" s="1118"/>
      <c r="G172"/>
      <c r="H172"/>
      <c r="I172"/>
    </row>
    <row r="173" spans="2:9" ht="18" thickBot="1" x14ac:dyDescent="0.35">
      <c r="B173" s="1119"/>
      <c r="C173" s="1120">
        <f>SUM(C167:C172)</f>
        <v>110570</v>
      </c>
      <c r="D173" s="1121"/>
      <c r="E173" s="1122">
        <f>SUM(E167:E172)</f>
        <v>76478</v>
      </c>
      <c r="F173" s="1123">
        <f>+F165+C173-E173</f>
        <v>-201279</v>
      </c>
      <c r="G173"/>
      <c r="H173"/>
      <c r="I173"/>
    </row>
    <row r="174" spans="2:9" ht="17.25" x14ac:dyDescent="0.3">
      <c r="B174" s="1101" t="s">
        <v>901</v>
      </c>
      <c r="C174" s="1102"/>
      <c r="D174" s="1103"/>
      <c r="E174" s="1104"/>
      <c r="F174" s="1112"/>
      <c r="G174"/>
      <c r="H174"/>
      <c r="I174"/>
    </row>
    <row r="175" spans="2:9" ht="17.25" x14ac:dyDescent="0.3">
      <c r="B175" s="1083" t="s">
        <v>865</v>
      </c>
      <c r="C175" s="1097">
        <v>55643</v>
      </c>
      <c r="D175" s="1109" t="s">
        <v>894</v>
      </c>
      <c r="E175" s="1086">
        <v>29995</v>
      </c>
      <c r="F175" s="1113"/>
      <c r="G175"/>
      <c r="H175"/>
      <c r="I175"/>
    </row>
    <row r="176" spans="2:9" ht="17.25" x14ac:dyDescent="0.3">
      <c r="B176" s="1083"/>
      <c r="C176" s="1097"/>
      <c r="D176" s="1111" t="s">
        <v>881</v>
      </c>
      <c r="E176" s="1086">
        <v>128</v>
      </c>
      <c r="F176" s="1113"/>
      <c r="G176"/>
      <c r="H176"/>
      <c r="I176"/>
    </row>
    <row r="177" spans="2:9" ht="17.25" x14ac:dyDescent="0.3">
      <c r="B177" s="1083" t="s">
        <v>866</v>
      </c>
      <c r="C177" s="1110">
        <v>27450</v>
      </c>
      <c r="D177" s="1085" t="s">
        <v>896</v>
      </c>
      <c r="E177" s="1086">
        <v>1837</v>
      </c>
      <c r="F177" s="1113"/>
      <c r="G177"/>
      <c r="H177"/>
      <c r="I177"/>
    </row>
    <row r="178" spans="2:9" ht="17.25" x14ac:dyDescent="0.3">
      <c r="B178" s="1083"/>
      <c r="C178" s="1110"/>
      <c r="D178" s="1085" t="s">
        <v>899</v>
      </c>
      <c r="E178" s="1086">
        <v>111151</v>
      </c>
      <c r="F178" s="1113"/>
      <c r="G178"/>
      <c r="H178"/>
      <c r="I178"/>
    </row>
    <row r="179" spans="2:9" ht="17.25" x14ac:dyDescent="0.3">
      <c r="B179" s="1083"/>
      <c r="C179" s="1110"/>
      <c r="D179" s="1085"/>
      <c r="E179" s="1086"/>
      <c r="F179" s="1113"/>
      <c r="G179"/>
      <c r="H179"/>
      <c r="I179"/>
    </row>
    <row r="180" spans="2:9" ht="17.25" x14ac:dyDescent="0.3">
      <c r="B180" s="1114"/>
      <c r="C180" s="1115"/>
      <c r="D180" s="1116"/>
      <c r="E180" s="1117"/>
      <c r="F180" s="1118"/>
      <c r="G180"/>
      <c r="H180"/>
      <c r="I180"/>
    </row>
    <row r="181" spans="2:9" ht="18" thickBot="1" x14ac:dyDescent="0.35">
      <c r="B181" s="1119"/>
      <c r="C181" s="1120">
        <f>SUM(C175:C180)</f>
        <v>83093</v>
      </c>
      <c r="D181" s="1121"/>
      <c r="E181" s="1122">
        <f>SUM(E175:E180)</f>
        <v>143111</v>
      </c>
      <c r="F181" s="1123">
        <f>+F173+C181-E181</f>
        <v>-261297</v>
      </c>
      <c r="G181"/>
      <c r="H181"/>
      <c r="I181"/>
    </row>
    <row r="182" spans="2:9" ht="17.25" x14ac:dyDescent="0.3">
      <c r="B182" s="1101" t="s">
        <v>902</v>
      </c>
      <c r="C182" s="1102"/>
      <c r="D182" s="1103"/>
      <c r="E182" s="1104"/>
      <c r="F182" s="1112"/>
      <c r="G182"/>
      <c r="H182"/>
      <c r="I182"/>
    </row>
    <row r="183" spans="2:9" ht="17.25" x14ac:dyDescent="0.3">
      <c r="B183" s="1083" t="s">
        <v>865</v>
      </c>
      <c r="C183" s="1097">
        <v>83142</v>
      </c>
      <c r="D183" s="1109" t="s">
        <v>894</v>
      </c>
      <c r="E183" s="1086">
        <v>33745</v>
      </c>
      <c r="F183" s="1113"/>
      <c r="G183"/>
      <c r="H183"/>
      <c r="I183"/>
    </row>
    <row r="184" spans="2:9" ht="17.25" x14ac:dyDescent="0.3">
      <c r="B184" s="1083" t="s">
        <v>866</v>
      </c>
      <c r="C184" s="1110">
        <v>23910</v>
      </c>
      <c r="D184" s="1085" t="s">
        <v>896</v>
      </c>
      <c r="E184" s="1086">
        <v>1779</v>
      </c>
      <c r="F184" s="1113"/>
      <c r="G184"/>
      <c r="H184"/>
      <c r="I184"/>
    </row>
    <row r="185" spans="2:9" ht="17.25" x14ac:dyDescent="0.3">
      <c r="B185" s="1083"/>
      <c r="C185" s="1110"/>
      <c r="D185" s="1085" t="s">
        <v>899</v>
      </c>
      <c r="E185" s="1086">
        <v>24603</v>
      </c>
      <c r="F185" s="1113"/>
      <c r="G185"/>
      <c r="H185"/>
      <c r="I185"/>
    </row>
    <row r="186" spans="2:9" ht="17.25" x14ac:dyDescent="0.3">
      <c r="B186" s="1083"/>
      <c r="C186" s="1110"/>
      <c r="D186" s="1085"/>
      <c r="E186" s="1086"/>
      <c r="F186" s="1113"/>
      <c r="G186"/>
      <c r="H186"/>
      <c r="I186"/>
    </row>
    <row r="187" spans="2:9" ht="17.25" x14ac:dyDescent="0.3">
      <c r="B187" s="1114"/>
      <c r="C187" s="1115"/>
      <c r="D187" s="1116"/>
      <c r="E187" s="1117"/>
      <c r="F187" s="1118"/>
      <c r="G187"/>
      <c r="H187"/>
      <c r="I187"/>
    </row>
    <row r="188" spans="2:9" ht="18" thickBot="1" x14ac:dyDescent="0.35">
      <c r="B188" s="1119"/>
      <c r="C188" s="1120">
        <f>SUM(C183:C187)</f>
        <v>107052</v>
      </c>
      <c r="D188" s="1121"/>
      <c r="E188" s="1122">
        <f>SUM(E183:E187)</f>
        <v>60127</v>
      </c>
      <c r="F188" s="1123">
        <f>+F181+C188-E188</f>
        <v>-214372</v>
      </c>
      <c r="G188"/>
      <c r="H188"/>
      <c r="I188"/>
    </row>
    <row r="189" spans="2:9" s="665" customFormat="1" ht="37.5" customHeight="1" thickBot="1" x14ac:dyDescent="0.35">
      <c r="B189" s="1073" t="s">
        <v>805</v>
      </c>
      <c r="C189" s="1074" t="s">
        <v>806</v>
      </c>
      <c r="D189" s="1075" t="s">
        <v>807</v>
      </c>
      <c r="E189" s="1076" t="s">
        <v>808</v>
      </c>
      <c r="F189" s="1077" t="s">
        <v>809</v>
      </c>
      <c r="G189" s="667"/>
    </row>
    <row r="190" spans="2:9" ht="17.25" x14ac:dyDescent="0.3">
      <c r="B190" s="1101" t="s">
        <v>903</v>
      </c>
      <c r="C190" s="1102"/>
      <c r="D190" s="1103"/>
      <c r="E190" s="1104"/>
      <c r="F190" s="1112"/>
      <c r="G190"/>
      <c r="H190"/>
      <c r="I190"/>
    </row>
    <row r="191" spans="2:9" ht="17.25" x14ac:dyDescent="0.3">
      <c r="B191" s="1083" t="s">
        <v>865</v>
      </c>
      <c r="C191" s="1097">
        <v>95353</v>
      </c>
      <c r="D191" s="1109" t="s">
        <v>894</v>
      </c>
      <c r="E191" s="1086">
        <v>31639</v>
      </c>
      <c r="F191" s="1113"/>
      <c r="G191"/>
      <c r="H191"/>
      <c r="I191"/>
    </row>
    <row r="192" spans="2:9" ht="17.25" x14ac:dyDescent="0.3">
      <c r="B192" s="1083" t="s">
        <v>866</v>
      </c>
      <c r="C192" s="1110">
        <v>16052</v>
      </c>
      <c r="D192" s="1085" t="s">
        <v>896</v>
      </c>
      <c r="E192" s="1086">
        <v>383</v>
      </c>
      <c r="F192" s="1113"/>
      <c r="G192"/>
      <c r="H192"/>
      <c r="I192"/>
    </row>
    <row r="193" spans="2:9" ht="17.25" x14ac:dyDescent="0.3">
      <c r="B193" s="1083"/>
      <c r="C193" s="1110"/>
      <c r="D193" s="1085" t="s">
        <v>899</v>
      </c>
      <c r="E193" s="1086">
        <v>56335</v>
      </c>
      <c r="F193" s="1113"/>
      <c r="G193"/>
      <c r="H193"/>
      <c r="I193"/>
    </row>
    <row r="194" spans="2:9" ht="17.25" x14ac:dyDescent="0.3">
      <c r="B194" s="1083"/>
      <c r="C194" s="1110"/>
      <c r="D194" s="1085"/>
      <c r="E194" s="1086"/>
      <c r="F194" s="1113"/>
      <c r="G194"/>
      <c r="H194"/>
      <c r="I194"/>
    </row>
    <row r="195" spans="2:9" ht="17.25" x14ac:dyDescent="0.3">
      <c r="B195" s="1114"/>
      <c r="C195" s="1115"/>
      <c r="D195" s="1116"/>
      <c r="E195" s="1117"/>
      <c r="F195" s="1118"/>
      <c r="G195"/>
      <c r="H195"/>
      <c r="I195"/>
    </row>
    <row r="196" spans="2:9" ht="18" thickBot="1" x14ac:dyDescent="0.35">
      <c r="B196" s="1119"/>
      <c r="C196" s="1120">
        <f>SUM(C191:C195)</f>
        <v>111405</v>
      </c>
      <c r="D196" s="1121"/>
      <c r="E196" s="1122">
        <f>SUM(E191:E195)</f>
        <v>88357</v>
      </c>
      <c r="F196" s="1123">
        <f>+F188+C196-E196</f>
        <v>-191324</v>
      </c>
      <c r="G196"/>
      <c r="H196"/>
      <c r="I196"/>
    </row>
    <row r="197" spans="2:9" ht="17.25" x14ac:dyDescent="0.3">
      <c r="B197" s="1101" t="s">
        <v>904</v>
      </c>
      <c r="C197" s="1102"/>
      <c r="D197" s="1103"/>
      <c r="E197" s="1104"/>
      <c r="F197" s="1112"/>
      <c r="G197"/>
      <c r="H197"/>
      <c r="I197"/>
    </row>
    <row r="198" spans="2:9" ht="17.25" x14ac:dyDescent="0.3">
      <c r="B198" s="1083" t="s">
        <v>865</v>
      </c>
      <c r="C198" s="1097">
        <v>44466</v>
      </c>
      <c r="D198" s="1109" t="s">
        <v>894</v>
      </c>
      <c r="E198" s="1086">
        <v>29314</v>
      </c>
      <c r="F198" s="1113"/>
      <c r="G198"/>
      <c r="H198"/>
      <c r="I198"/>
    </row>
    <row r="199" spans="2:9" ht="17.25" x14ac:dyDescent="0.3">
      <c r="B199" s="1083" t="s">
        <v>866</v>
      </c>
      <c r="C199" s="1110">
        <v>10823</v>
      </c>
      <c r="D199" s="1085" t="s">
        <v>899</v>
      </c>
      <c r="E199" s="1086">
        <v>36529</v>
      </c>
      <c r="F199" s="1113"/>
      <c r="G199"/>
      <c r="H199"/>
      <c r="I199"/>
    </row>
    <row r="200" spans="2:9" ht="17.25" x14ac:dyDescent="0.3">
      <c r="B200" s="1083"/>
      <c r="C200" s="1110"/>
      <c r="D200" s="1085"/>
      <c r="E200" s="1086"/>
      <c r="F200" s="1113"/>
      <c r="G200"/>
      <c r="H200"/>
      <c r="I200"/>
    </row>
    <row r="201" spans="2:9" ht="17.25" x14ac:dyDescent="0.3">
      <c r="B201" s="1114"/>
      <c r="C201" s="1115"/>
      <c r="D201" s="1116"/>
      <c r="E201" s="1117"/>
      <c r="F201" s="1118"/>
      <c r="G201"/>
      <c r="H201"/>
      <c r="I201"/>
    </row>
    <row r="202" spans="2:9" ht="18" thickBot="1" x14ac:dyDescent="0.35">
      <c r="B202" s="1119"/>
      <c r="C202" s="1120">
        <f>SUM(C198:C201)</f>
        <v>55289</v>
      </c>
      <c r="D202" s="1121"/>
      <c r="E202" s="1122">
        <f>SUM(E198:E201)</f>
        <v>65843</v>
      </c>
      <c r="F202" s="1123">
        <f>+F196+C202-E202</f>
        <v>-201878</v>
      </c>
      <c r="G202"/>
      <c r="H202"/>
      <c r="I202"/>
    </row>
    <row r="203" spans="2:9" ht="17.25" x14ac:dyDescent="0.3">
      <c r="B203" s="1101" t="s">
        <v>905</v>
      </c>
      <c r="C203" s="1102"/>
      <c r="D203" s="1103"/>
      <c r="E203" s="1104"/>
      <c r="F203" s="1112"/>
      <c r="G203"/>
      <c r="H203"/>
      <c r="I203"/>
    </row>
    <row r="204" spans="2:9" ht="17.25" x14ac:dyDescent="0.3">
      <c r="B204" s="1083" t="s">
        <v>865</v>
      </c>
      <c r="C204" s="1097">
        <v>82343</v>
      </c>
      <c r="D204" s="1109" t="s">
        <v>894</v>
      </c>
      <c r="E204" s="1086">
        <v>29269</v>
      </c>
      <c r="F204" s="1113"/>
      <c r="G204"/>
      <c r="H204"/>
      <c r="I204"/>
    </row>
    <row r="205" spans="2:9" ht="17.25" x14ac:dyDescent="0.3">
      <c r="B205" s="1083" t="s">
        <v>866</v>
      </c>
      <c r="C205" s="1110">
        <v>9185</v>
      </c>
      <c r="D205" s="1085" t="s">
        <v>899</v>
      </c>
      <c r="E205" s="1086">
        <v>58546</v>
      </c>
      <c r="F205" s="1113"/>
      <c r="G205"/>
      <c r="H205"/>
      <c r="I205"/>
    </row>
    <row r="206" spans="2:9" ht="17.25" x14ac:dyDescent="0.3">
      <c r="B206" s="1083"/>
      <c r="C206" s="1110"/>
      <c r="D206" s="1085"/>
      <c r="E206" s="1086"/>
      <c r="F206" s="1113"/>
      <c r="G206"/>
      <c r="H206"/>
      <c r="I206"/>
    </row>
    <row r="207" spans="2:9" ht="17.25" x14ac:dyDescent="0.3">
      <c r="B207" s="1114"/>
      <c r="C207" s="1115"/>
      <c r="D207" s="1116"/>
      <c r="E207" s="1117"/>
      <c r="F207" s="1118"/>
      <c r="G207"/>
      <c r="H207"/>
      <c r="I207"/>
    </row>
    <row r="208" spans="2:9" ht="18" thickBot="1" x14ac:dyDescent="0.35">
      <c r="B208" s="1119"/>
      <c r="C208" s="1120">
        <f>SUM(C204:C207)</f>
        <v>91528</v>
      </c>
      <c r="D208" s="1121"/>
      <c r="E208" s="1122">
        <f>SUM(E204:E207)</f>
        <v>87815</v>
      </c>
      <c r="F208" s="1123">
        <f>+F202+C208-E208</f>
        <v>-198165</v>
      </c>
      <c r="G208"/>
      <c r="H208"/>
      <c r="I208"/>
    </row>
    <row r="209" spans="2:9" ht="17.25" x14ac:dyDescent="0.3">
      <c r="B209" s="1101" t="s">
        <v>906</v>
      </c>
      <c r="C209" s="1102"/>
      <c r="D209" s="1103"/>
      <c r="E209" s="1104"/>
      <c r="F209" s="1112"/>
      <c r="G209"/>
      <c r="H209"/>
      <c r="I209"/>
    </row>
    <row r="210" spans="2:9" ht="17.25" x14ac:dyDescent="0.3">
      <c r="B210" s="1083" t="s">
        <v>865</v>
      </c>
      <c r="C210" s="1097">
        <v>21600</v>
      </c>
      <c r="D210" s="1109" t="s">
        <v>894</v>
      </c>
      <c r="E210" s="1086">
        <v>55783</v>
      </c>
      <c r="F210" s="1113"/>
      <c r="G210"/>
      <c r="H210"/>
      <c r="I210"/>
    </row>
    <row r="211" spans="2:9" ht="17.25" x14ac:dyDescent="0.3">
      <c r="B211" s="1083" t="s">
        <v>866</v>
      </c>
      <c r="C211" s="1110">
        <v>6186</v>
      </c>
      <c r="D211" s="1085" t="s">
        <v>899</v>
      </c>
      <c r="E211" s="1086">
        <v>11534</v>
      </c>
      <c r="F211" s="1113"/>
      <c r="G211"/>
      <c r="H211"/>
      <c r="I211"/>
    </row>
    <row r="212" spans="2:9" ht="17.25" x14ac:dyDescent="0.3">
      <c r="B212" s="1083"/>
      <c r="C212" s="1110"/>
      <c r="D212" s="1085"/>
      <c r="E212" s="1086"/>
      <c r="F212" s="1113"/>
      <c r="G212"/>
      <c r="H212"/>
      <c r="I212"/>
    </row>
    <row r="213" spans="2:9" ht="17.25" x14ac:dyDescent="0.3">
      <c r="B213" s="1114"/>
      <c r="C213" s="1115"/>
      <c r="D213" s="1116"/>
      <c r="E213" s="1117"/>
      <c r="F213" s="1118"/>
      <c r="G213"/>
      <c r="H213"/>
      <c r="I213"/>
    </row>
    <row r="214" spans="2:9" ht="18" thickBot="1" x14ac:dyDescent="0.35">
      <c r="B214" s="1119"/>
      <c r="C214" s="1120">
        <f>SUM(C210:C213)</f>
        <v>27786</v>
      </c>
      <c r="D214" s="1121"/>
      <c r="E214" s="1122">
        <f>SUM(E210:E213)</f>
        <v>67317</v>
      </c>
      <c r="F214" s="1123">
        <f>+F208+C214-E214</f>
        <v>-237696</v>
      </c>
      <c r="G214"/>
      <c r="H214"/>
      <c r="I214"/>
    </row>
    <row r="215" spans="2:9" ht="17.25" x14ac:dyDescent="0.3">
      <c r="B215" s="1101" t="s">
        <v>907</v>
      </c>
      <c r="C215" s="1102"/>
      <c r="D215" s="1103"/>
      <c r="E215" s="1104"/>
      <c r="F215" s="1112"/>
    </row>
    <row r="216" spans="2:9" ht="17.25" x14ac:dyDescent="0.3">
      <c r="B216" s="1083" t="s">
        <v>865</v>
      </c>
      <c r="C216" s="1097">
        <v>93960</v>
      </c>
      <c r="D216" s="1109" t="s">
        <v>894</v>
      </c>
      <c r="E216" s="1124">
        <v>52136</v>
      </c>
      <c r="F216" s="1113"/>
    </row>
    <row r="217" spans="2:9" ht="17.25" x14ac:dyDescent="0.3">
      <c r="B217" s="1083" t="s">
        <v>866</v>
      </c>
      <c r="C217" s="1110">
        <v>3887</v>
      </c>
      <c r="D217" s="1085" t="s">
        <v>899</v>
      </c>
      <c r="E217" s="1086">
        <v>18742</v>
      </c>
      <c r="F217" s="1113"/>
    </row>
    <row r="218" spans="2:9" ht="17.25" x14ac:dyDescent="0.3">
      <c r="B218" s="1083"/>
      <c r="C218" s="1110"/>
      <c r="D218" s="1085"/>
      <c r="E218" s="1086"/>
      <c r="F218" s="1113"/>
    </row>
    <row r="219" spans="2:9" ht="17.25" x14ac:dyDescent="0.3">
      <c r="B219" s="1114"/>
      <c r="C219" s="1115"/>
      <c r="D219" s="1116"/>
      <c r="E219" s="1117"/>
      <c r="F219" s="1118"/>
    </row>
    <row r="220" spans="2:9" ht="18" thickBot="1" x14ac:dyDescent="0.35">
      <c r="B220" s="1119"/>
      <c r="C220" s="1120">
        <f>SUM(C216:C219)</f>
        <v>97847</v>
      </c>
      <c r="D220" s="1121"/>
      <c r="E220" s="1122">
        <f>SUM(E216:E219)</f>
        <v>70878</v>
      </c>
      <c r="F220" s="1123">
        <f>+F214+C220-E220</f>
        <v>-210727</v>
      </c>
    </row>
    <row r="221" spans="2:9" ht="17.25" x14ac:dyDescent="0.3">
      <c r="B221" s="1101" t="s">
        <v>908</v>
      </c>
      <c r="C221" s="1102"/>
      <c r="D221" s="1103"/>
      <c r="E221" s="1104"/>
      <c r="F221" s="1112"/>
    </row>
    <row r="222" spans="2:9" ht="17.25" x14ac:dyDescent="0.3">
      <c r="B222" s="1083" t="s">
        <v>865</v>
      </c>
      <c r="C222" s="1097">
        <v>17500</v>
      </c>
      <c r="D222" s="1109" t="s">
        <v>894</v>
      </c>
      <c r="E222" s="1124">
        <v>41976</v>
      </c>
      <c r="F222" s="1113"/>
    </row>
    <row r="223" spans="2:9" ht="17.25" x14ac:dyDescent="0.3">
      <c r="B223" s="1083" t="s">
        <v>866</v>
      </c>
      <c r="C223" s="1110">
        <v>2005</v>
      </c>
      <c r="D223" s="1085" t="s">
        <v>899</v>
      </c>
      <c r="E223" s="1086">
        <v>0</v>
      </c>
      <c r="F223" s="1113"/>
    </row>
    <row r="224" spans="2:9" ht="17.25" x14ac:dyDescent="0.3">
      <c r="B224" s="1083"/>
      <c r="C224" s="1110"/>
      <c r="D224" s="1085"/>
      <c r="E224" s="1086"/>
      <c r="F224" s="1113"/>
    </row>
    <row r="225" spans="2:7" ht="17.25" x14ac:dyDescent="0.3">
      <c r="B225" s="1114"/>
      <c r="C225" s="1115"/>
      <c r="D225" s="1116"/>
      <c r="E225" s="1117"/>
      <c r="F225" s="1118"/>
    </row>
    <row r="226" spans="2:7" ht="18" thickBot="1" x14ac:dyDescent="0.35">
      <c r="B226" s="1119"/>
      <c r="C226" s="1120">
        <f>SUM(C222:C225)</f>
        <v>19505</v>
      </c>
      <c r="D226" s="1121"/>
      <c r="E226" s="1122">
        <f>SUM(E222:E225)</f>
        <v>41976</v>
      </c>
      <c r="F226" s="1123">
        <f>+F220+C226-E226</f>
        <v>-233198</v>
      </c>
    </row>
    <row r="227" spans="2:7" ht="17.25" x14ac:dyDescent="0.3">
      <c r="B227" s="1101" t="s">
        <v>681</v>
      </c>
      <c r="C227" s="1102"/>
      <c r="D227" s="1103"/>
      <c r="E227" s="1104"/>
      <c r="F227" s="1112"/>
    </row>
    <row r="228" spans="2:7" ht="17.25" x14ac:dyDescent="0.3">
      <c r="B228" s="1083" t="s">
        <v>865</v>
      </c>
      <c r="C228" s="1125">
        <v>106236</v>
      </c>
      <c r="D228" s="1109" t="s">
        <v>894</v>
      </c>
      <c r="E228" s="1124">
        <v>34167</v>
      </c>
      <c r="F228" s="1113"/>
    </row>
    <row r="229" spans="2:7" ht="17.25" x14ac:dyDescent="0.3">
      <c r="B229" s="1083" t="s">
        <v>866</v>
      </c>
      <c r="C229" s="1110">
        <v>984</v>
      </c>
      <c r="D229" s="1085" t="s">
        <v>909</v>
      </c>
      <c r="E229" s="1086">
        <v>5000</v>
      </c>
      <c r="F229" s="1113"/>
      <c r="G229" s="670"/>
    </row>
    <row r="230" spans="2:7" ht="17.25" x14ac:dyDescent="0.3">
      <c r="B230" s="1083"/>
      <c r="C230" s="1110"/>
      <c r="D230" s="1085"/>
      <c r="E230" s="1086"/>
      <c r="F230" s="1113"/>
    </row>
    <row r="231" spans="2:7" ht="17.25" x14ac:dyDescent="0.3">
      <c r="B231" s="1114"/>
      <c r="C231" s="1115"/>
      <c r="D231" s="1116"/>
      <c r="E231" s="1117"/>
      <c r="F231" s="1118"/>
    </row>
    <row r="232" spans="2:7" ht="18" thickBot="1" x14ac:dyDescent="0.35">
      <c r="B232" s="1119"/>
      <c r="C232" s="1120">
        <f>SUM(C228:C231)</f>
        <v>107220</v>
      </c>
      <c r="D232" s="1121"/>
      <c r="E232" s="1122">
        <f>SUM(E228:E231)</f>
        <v>39167</v>
      </c>
      <c r="F232" s="1123">
        <f>+F226+C232-E232</f>
        <v>-165145</v>
      </c>
    </row>
    <row r="233" spans="2:7" ht="17.25" x14ac:dyDescent="0.3">
      <c r="B233" s="1101" t="s">
        <v>682</v>
      </c>
      <c r="C233" s="1102"/>
      <c r="D233" s="1103"/>
      <c r="E233" s="1104"/>
      <c r="F233" s="1112"/>
    </row>
    <row r="234" spans="2:7" ht="17.25" x14ac:dyDescent="0.3">
      <c r="B234" s="1083" t="s">
        <v>865</v>
      </c>
      <c r="C234" s="1125">
        <v>48700</v>
      </c>
      <c r="D234" s="1109" t="s">
        <v>894</v>
      </c>
      <c r="E234" s="1124">
        <v>50379</v>
      </c>
      <c r="F234" s="1113"/>
    </row>
    <row r="235" spans="2:7" ht="17.25" x14ac:dyDescent="0.3">
      <c r="B235" s="1083" t="s">
        <v>866</v>
      </c>
      <c r="C235" s="1110">
        <v>2037</v>
      </c>
      <c r="D235" s="1085" t="s">
        <v>909</v>
      </c>
      <c r="E235" s="1086">
        <v>0</v>
      </c>
      <c r="F235" s="1113"/>
    </row>
    <row r="236" spans="2:7" ht="17.25" x14ac:dyDescent="0.3">
      <c r="B236" s="1083"/>
      <c r="C236" s="1110"/>
      <c r="D236" s="1085"/>
      <c r="E236" s="1086"/>
      <c r="F236" s="1113"/>
    </row>
    <row r="237" spans="2:7" ht="17.25" x14ac:dyDescent="0.3">
      <c r="B237" s="1114"/>
      <c r="C237" s="1115"/>
      <c r="D237" s="1116"/>
      <c r="E237" s="1117"/>
      <c r="F237" s="1118"/>
    </row>
    <row r="238" spans="2:7" ht="18" thickBot="1" x14ac:dyDescent="0.35">
      <c r="B238" s="1119"/>
      <c r="C238" s="1120">
        <f>SUM(C234:C237)</f>
        <v>50737</v>
      </c>
      <c r="D238" s="1121"/>
      <c r="E238" s="1122">
        <f>SUM(E234:E237)</f>
        <v>50379</v>
      </c>
      <c r="F238" s="1123">
        <f>+F232+C238-E238</f>
        <v>-164787</v>
      </c>
    </row>
    <row r="239" spans="2:7" ht="16.5" x14ac:dyDescent="0.25">
      <c r="B239" s="1126"/>
      <c r="C239" s="1127"/>
      <c r="D239" s="1126"/>
      <c r="E239" s="1127"/>
      <c r="F239" s="1126"/>
    </row>
    <row r="240" spans="2:7" ht="16.5" x14ac:dyDescent="0.25">
      <c r="B240" s="1126"/>
      <c r="C240" s="1127"/>
      <c r="D240" s="1126"/>
      <c r="E240" s="1127"/>
      <c r="F240" s="1126"/>
    </row>
    <row r="241" spans="2:6" ht="16.5" x14ac:dyDescent="0.25">
      <c r="B241" s="1126"/>
      <c r="C241" s="1127"/>
      <c r="D241" s="1126"/>
      <c r="E241" s="1127"/>
      <c r="F241" s="1126"/>
    </row>
    <row r="242" spans="2:6" ht="16.5" x14ac:dyDescent="0.25">
      <c r="B242" s="1126"/>
      <c r="C242" s="1127"/>
      <c r="D242" s="1126"/>
      <c r="E242" s="1127"/>
      <c r="F242" s="1126"/>
    </row>
    <row r="243" spans="2:6" ht="16.5" x14ac:dyDescent="0.25">
      <c r="B243" s="1126"/>
      <c r="C243" s="1127"/>
      <c r="D243" s="1126"/>
      <c r="E243" s="1127"/>
      <c r="F243" s="1126"/>
    </row>
    <row r="244" spans="2:6" ht="16.5" x14ac:dyDescent="0.25">
      <c r="B244" s="1126"/>
      <c r="C244" s="1127"/>
      <c r="D244" s="1126"/>
      <c r="E244" s="1127"/>
      <c r="F244" s="1126"/>
    </row>
    <row r="245" spans="2:6" ht="16.5" x14ac:dyDescent="0.25">
      <c r="B245" s="1126"/>
      <c r="C245" s="1127"/>
      <c r="D245" s="1126"/>
      <c r="E245" s="1127"/>
      <c r="F245" s="1126"/>
    </row>
    <row r="246" spans="2:6" ht="16.5" x14ac:dyDescent="0.25">
      <c r="B246" s="1126"/>
      <c r="C246" s="1127"/>
      <c r="D246" s="1126"/>
      <c r="E246" s="1127"/>
      <c r="F246" s="1126"/>
    </row>
    <row r="247" spans="2:6" ht="16.5" x14ac:dyDescent="0.25">
      <c r="B247" s="1126"/>
      <c r="C247" s="1127"/>
      <c r="D247" s="1126"/>
      <c r="E247" s="1127"/>
      <c r="F247" s="1126"/>
    </row>
    <row r="248" spans="2:6" ht="16.5" x14ac:dyDescent="0.25">
      <c r="B248" s="1126"/>
      <c r="C248" s="1127"/>
      <c r="D248" s="1126"/>
      <c r="E248" s="1127"/>
      <c r="F248" s="1126"/>
    </row>
    <row r="249" spans="2:6" ht="16.5" x14ac:dyDescent="0.25">
      <c r="B249" s="1126"/>
      <c r="C249" s="1127"/>
      <c r="D249" s="1126"/>
      <c r="E249" s="1127"/>
      <c r="F249" s="1126"/>
    </row>
    <row r="250" spans="2:6" ht="16.5" x14ac:dyDescent="0.25">
      <c r="B250" s="1126"/>
      <c r="C250" s="1127"/>
      <c r="D250" s="1126"/>
      <c r="E250" s="1127"/>
      <c r="F250" s="1126"/>
    </row>
    <row r="251" spans="2:6" ht="16.5" x14ac:dyDescent="0.25">
      <c r="B251" s="1126"/>
      <c r="C251" s="1127"/>
      <c r="D251" s="1126"/>
      <c r="E251" s="1127"/>
      <c r="F251" s="1126"/>
    </row>
    <row r="252" spans="2:6" ht="16.5" x14ac:dyDescent="0.25">
      <c r="B252" s="1126"/>
      <c r="C252" s="1127"/>
      <c r="D252" s="1126"/>
      <c r="E252" s="1127"/>
      <c r="F252" s="1126"/>
    </row>
    <row r="253" spans="2:6" ht="16.5" x14ac:dyDescent="0.25">
      <c r="B253" s="1126"/>
      <c r="C253" s="1127"/>
      <c r="D253" s="1126"/>
      <c r="E253" s="1127"/>
      <c r="F253" s="1126"/>
    </row>
    <row r="254" spans="2:6" ht="16.5" x14ac:dyDescent="0.25">
      <c r="B254" s="1126"/>
      <c r="C254" s="1127"/>
      <c r="D254" s="1126"/>
      <c r="E254" s="1127"/>
      <c r="F254" s="1126"/>
    </row>
    <row r="255" spans="2:6" ht="16.5" x14ac:dyDescent="0.25">
      <c r="B255" s="1126"/>
      <c r="C255" s="1127"/>
      <c r="D255" s="1126"/>
      <c r="E255" s="1127"/>
      <c r="F255" s="1126"/>
    </row>
    <row r="256" spans="2:6" ht="16.5" x14ac:dyDescent="0.25">
      <c r="B256" s="1126"/>
      <c r="C256" s="1127"/>
      <c r="D256" s="1126"/>
      <c r="E256" s="1127"/>
      <c r="F256" s="1126"/>
    </row>
    <row r="257" spans="2:6" ht="16.5" x14ac:dyDescent="0.25">
      <c r="B257" s="1126"/>
      <c r="C257" s="1127"/>
      <c r="D257" s="1126"/>
      <c r="E257" s="1127"/>
      <c r="F257" s="1126"/>
    </row>
    <row r="258" spans="2:6" ht="16.5" x14ac:dyDescent="0.25">
      <c r="B258" s="1126"/>
      <c r="C258" s="1127"/>
      <c r="D258" s="1126"/>
      <c r="E258" s="1127"/>
      <c r="F258" s="1126"/>
    </row>
    <row r="259" spans="2:6" ht="16.5" x14ac:dyDescent="0.25">
      <c r="B259" s="1126"/>
      <c r="C259" s="1127"/>
      <c r="D259" s="1126"/>
      <c r="E259" s="1127"/>
      <c r="F259" s="1126"/>
    </row>
    <row r="260" spans="2:6" ht="16.5" x14ac:dyDescent="0.25">
      <c r="B260" s="1126"/>
      <c r="C260" s="1127"/>
      <c r="D260" s="1126"/>
      <c r="E260" s="1127"/>
      <c r="F260" s="1126"/>
    </row>
    <row r="261" spans="2:6" ht="16.5" x14ac:dyDescent="0.25">
      <c r="B261" s="1126"/>
      <c r="C261" s="1127"/>
      <c r="D261" s="1126"/>
      <c r="E261" s="1127"/>
      <c r="F261" s="1126"/>
    </row>
    <row r="262" spans="2:6" ht="16.5" x14ac:dyDescent="0.25">
      <c r="B262" s="1126"/>
      <c r="C262" s="1127"/>
      <c r="D262" s="1126"/>
      <c r="E262" s="1127"/>
      <c r="F262" s="1126"/>
    </row>
    <row r="263" spans="2:6" ht="16.5" x14ac:dyDescent="0.25">
      <c r="B263" s="1126"/>
      <c r="C263" s="1127"/>
      <c r="D263" s="1126"/>
      <c r="E263" s="1127"/>
      <c r="F263" s="1126"/>
    </row>
    <row r="264" spans="2:6" ht="16.5" x14ac:dyDescent="0.25">
      <c r="B264" s="1126"/>
      <c r="C264" s="1127"/>
      <c r="D264" s="1126"/>
      <c r="E264" s="1127"/>
      <c r="F264" s="1126"/>
    </row>
    <row r="265" spans="2:6" ht="16.5" x14ac:dyDescent="0.25">
      <c r="B265" s="1126"/>
      <c r="C265" s="1127"/>
      <c r="D265" s="1126"/>
      <c r="E265" s="1127"/>
      <c r="F265" s="1126"/>
    </row>
    <row r="266" spans="2:6" ht="16.5" x14ac:dyDescent="0.25">
      <c r="B266" s="1126"/>
      <c r="C266" s="1127"/>
      <c r="D266" s="1126"/>
      <c r="E266" s="1127"/>
      <c r="F266" s="1126"/>
    </row>
    <row r="267" spans="2:6" ht="16.5" x14ac:dyDescent="0.25">
      <c r="B267" s="1126"/>
      <c r="C267" s="1127"/>
      <c r="D267" s="1126"/>
      <c r="E267" s="1127"/>
      <c r="F267" s="1126"/>
    </row>
    <row r="268" spans="2:6" ht="16.5" x14ac:dyDescent="0.25">
      <c r="B268" s="1126"/>
      <c r="C268" s="1127"/>
      <c r="D268" s="1126"/>
      <c r="E268" s="1127"/>
      <c r="F268" s="1126"/>
    </row>
    <row r="269" spans="2:6" ht="16.5" x14ac:dyDescent="0.25">
      <c r="B269" s="1126"/>
      <c r="C269" s="1127"/>
      <c r="D269" s="1126"/>
      <c r="E269" s="1127"/>
      <c r="F269" s="1126"/>
    </row>
    <row r="270" spans="2:6" ht="16.5" x14ac:dyDescent="0.25">
      <c r="B270" s="1126"/>
      <c r="C270" s="1127"/>
      <c r="D270" s="1126"/>
      <c r="E270" s="1127"/>
      <c r="F270" s="1126"/>
    </row>
    <row r="271" spans="2:6" ht="16.5" x14ac:dyDescent="0.25">
      <c r="B271" s="1126"/>
      <c r="C271" s="1127"/>
      <c r="D271" s="1126"/>
      <c r="E271" s="1127"/>
      <c r="F271" s="1126"/>
    </row>
    <row r="272" spans="2:6" ht="16.5" x14ac:dyDescent="0.25">
      <c r="B272" s="1126"/>
      <c r="C272" s="1127"/>
      <c r="D272" s="1126"/>
      <c r="E272" s="1127"/>
      <c r="F272" s="1126"/>
    </row>
    <row r="273" spans="2:6" ht="16.5" x14ac:dyDescent="0.25">
      <c r="B273" s="1126"/>
      <c r="C273" s="1127"/>
      <c r="D273" s="1126"/>
      <c r="E273" s="1127"/>
      <c r="F273" s="1126"/>
    </row>
    <row r="274" spans="2:6" ht="16.5" x14ac:dyDescent="0.25">
      <c r="B274" s="1126"/>
      <c r="C274" s="1127"/>
      <c r="D274" s="1126"/>
      <c r="E274" s="1127"/>
      <c r="F274" s="1126"/>
    </row>
    <row r="275" spans="2:6" ht="16.5" x14ac:dyDescent="0.25">
      <c r="B275" s="1126"/>
      <c r="C275" s="1127"/>
      <c r="D275" s="1126"/>
      <c r="E275" s="1127"/>
      <c r="F275" s="1126"/>
    </row>
    <row r="276" spans="2:6" ht="16.5" x14ac:dyDescent="0.25">
      <c r="B276" s="1126"/>
      <c r="C276" s="1127"/>
      <c r="D276" s="1126"/>
      <c r="E276" s="1127"/>
      <c r="F276" s="1126"/>
    </row>
    <row r="277" spans="2:6" ht="16.5" x14ac:dyDescent="0.25">
      <c r="B277" s="1126"/>
      <c r="C277" s="1127"/>
      <c r="D277" s="1126"/>
      <c r="E277" s="1127"/>
      <c r="F277" s="1126"/>
    </row>
    <row r="278" spans="2:6" ht="16.5" x14ac:dyDescent="0.25">
      <c r="B278" s="1126"/>
      <c r="C278" s="1127"/>
      <c r="D278" s="1126"/>
      <c r="E278" s="1127"/>
      <c r="F278" s="1126"/>
    </row>
    <row r="279" spans="2:6" ht="16.5" x14ac:dyDescent="0.25">
      <c r="B279" s="1126"/>
      <c r="C279" s="1127"/>
      <c r="D279" s="1126"/>
      <c r="E279" s="1127"/>
      <c r="F279" s="1126"/>
    </row>
    <row r="280" spans="2:6" ht="16.5" x14ac:dyDescent="0.25">
      <c r="B280" s="1126"/>
      <c r="C280" s="1127"/>
      <c r="D280" s="1126"/>
      <c r="E280" s="1127"/>
      <c r="F280" s="1126"/>
    </row>
    <row r="281" spans="2:6" ht="16.5" x14ac:dyDescent="0.25">
      <c r="B281" s="1126"/>
      <c r="C281" s="1127"/>
      <c r="D281" s="1126"/>
      <c r="E281" s="1127"/>
      <c r="F281" s="1126"/>
    </row>
    <row r="282" spans="2:6" ht="16.5" x14ac:dyDescent="0.25">
      <c r="B282" s="1126"/>
      <c r="C282" s="1127"/>
      <c r="D282" s="1126"/>
      <c r="E282" s="1127"/>
      <c r="F282" s="1126"/>
    </row>
    <row r="283" spans="2:6" ht="16.5" x14ac:dyDescent="0.25">
      <c r="B283" s="1126"/>
      <c r="C283" s="1127"/>
      <c r="D283" s="1126"/>
      <c r="E283" s="1127"/>
      <c r="F283" s="1126"/>
    </row>
    <row r="284" spans="2:6" ht="16.5" x14ac:dyDescent="0.25">
      <c r="B284" s="1126"/>
      <c r="C284" s="1127"/>
      <c r="D284" s="1126"/>
      <c r="E284" s="1127"/>
      <c r="F284" s="1126"/>
    </row>
    <row r="285" spans="2:6" ht="16.5" x14ac:dyDescent="0.25">
      <c r="B285" s="1126"/>
      <c r="C285" s="1127"/>
      <c r="D285" s="1126"/>
      <c r="E285" s="1127"/>
      <c r="F285" s="1126"/>
    </row>
    <row r="286" spans="2:6" ht="16.5" x14ac:dyDescent="0.25">
      <c r="B286" s="1126"/>
      <c r="C286" s="1127"/>
      <c r="D286" s="1126"/>
      <c r="E286" s="1127"/>
      <c r="F286" s="1126"/>
    </row>
    <row r="287" spans="2:6" ht="16.5" x14ac:dyDescent="0.25">
      <c r="B287" s="1126"/>
      <c r="C287" s="1127"/>
      <c r="D287" s="1126"/>
      <c r="E287" s="1127"/>
      <c r="F287" s="1126"/>
    </row>
    <row r="288" spans="2:6" ht="16.5" x14ac:dyDescent="0.25">
      <c r="B288" s="1126"/>
      <c r="C288" s="1127"/>
      <c r="D288" s="1126"/>
      <c r="E288" s="1127"/>
      <c r="F288" s="1126"/>
    </row>
    <row r="289" spans="2:6" ht="16.5" x14ac:dyDescent="0.25">
      <c r="B289" s="1126"/>
      <c r="C289" s="1127"/>
      <c r="D289" s="1126"/>
      <c r="E289" s="1127"/>
      <c r="F289" s="1126"/>
    </row>
    <row r="290" spans="2:6" ht="16.5" x14ac:dyDescent="0.25">
      <c r="B290" s="1126"/>
      <c r="C290" s="1127"/>
      <c r="D290" s="1126"/>
      <c r="E290" s="1127"/>
      <c r="F290" s="1126"/>
    </row>
    <row r="291" spans="2:6" ht="16.5" x14ac:dyDescent="0.25">
      <c r="B291" s="1126"/>
      <c r="C291" s="1127"/>
      <c r="D291" s="1126"/>
      <c r="E291" s="1127"/>
      <c r="F291" s="1126"/>
    </row>
    <row r="292" spans="2:6" ht="16.5" x14ac:dyDescent="0.25">
      <c r="B292" s="1126"/>
      <c r="C292" s="1127"/>
      <c r="D292" s="1126"/>
      <c r="E292" s="1127"/>
      <c r="F292" s="1126"/>
    </row>
    <row r="293" spans="2:6" ht="16.5" x14ac:dyDescent="0.25">
      <c r="B293" s="1126"/>
      <c r="C293" s="1127"/>
      <c r="D293" s="1126"/>
      <c r="E293" s="1127"/>
      <c r="F293" s="1126"/>
    </row>
    <row r="294" spans="2:6" ht="16.5" x14ac:dyDescent="0.25">
      <c r="B294" s="1126"/>
      <c r="C294" s="1127"/>
      <c r="D294" s="1126"/>
      <c r="E294" s="1127"/>
      <c r="F294" s="1126"/>
    </row>
    <row r="295" spans="2:6" ht="16.5" x14ac:dyDescent="0.25">
      <c r="B295" s="1126"/>
      <c r="C295" s="1127"/>
      <c r="D295" s="1126"/>
      <c r="E295" s="1127"/>
      <c r="F295" s="1126"/>
    </row>
    <row r="296" spans="2:6" ht="16.5" x14ac:dyDescent="0.25">
      <c r="B296" s="1126"/>
      <c r="C296" s="1127"/>
      <c r="D296" s="1126"/>
      <c r="E296" s="1127"/>
      <c r="F296" s="1126"/>
    </row>
    <row r="297" spans="2:6" ht="16.5" x14ac:dyDescent="0.25">
      <c r="B297" s="1126"/>
      <c r="C297" s="1127"/>
      <c r="D297" s="1126"/>
      <c r="E297" s="1127"/>
      <c r="F297" s="1126"/>
    </row>
    <row r="298" spans="2:6" ht="16.5" x14ac:dyDescent="0.25">
      <c r="B298" s="1126"/>
      <c r="C298" s="1127"/>
      <c r="D298" s="1126"/>
      <c r="E298" s="1127"/>
      <c r="F298" s="1126"/>
    </row>
    <row r="299" spans="2:6" ht="16.5" x14ac:dyDescent="0.25">
      <c r="B299" s="1126"/>
      <c r="C299" s="1127"/>
      <c r="D299" s="1126"/>
      <c r="E299" s="1127"/>
      <c r="F299" s="1126"/>
    </row>
    <row r="300" spans="2:6" ht="16.5" x14ac:dyDescent="0.25">
      <c r="B300" s="1126"/>
      <c r="C300" s="1127"/>
      <c r="D300" s="1126"/>
      <c r="E300" s="1127"/>
      <c r="F300" s="1126"/>
    </row>
    <row r="301" spans="2:6" ht="16.5" x14ac:dyDescent="0.25">
      <c r="B301" s="1126"/>
      <c r="C301" s="1127"/>
      <c r="D301" s="1126"/>
      <c r="E301" s="1127"/>
      <c r="F301" s="1126"/>
    </row>
    <row r="302" spans="2:6" ht="16.5" x14ac:dyDescent="0.25">
      <c r="B302" s="1126"/>
      <c r="C302" s="1127"/>
      <c r="D302" s="1126"/>
      <c r="E302" s="1127"/>
      <c r="F302" s="1126"/>
    </row>
    <row r="303" spans="2:6" ht="16.5" x14ac:dyDescent="0.25">
      <c r="B303" s="1126"/>
      <c r="C303" s="1127"/>
      <c r="D303" s="1126"/>
      <c r="E303" s="1127"/>
      <c r="F303" s="1126"/>
    </row>
    <row r="304" spans="2:6" ht="16.5" x14ac:dyDescent="0.25">
      <c r="B304" s="1126"/>
      <c r="C304" s="1127"/>
      <c r="D304" s="1126"/>
      <c r="E304" s="1127"/>
      <c r="F304" s="1126"/>
    </row>
    <row r="305" spans="2:6" ht="16.5" x14ac:dyDescent="0.25">
      <c r="B305" s="1126"/>
      <c r="C305" s="1127"/>
      <c r="D305" s="1126"/>
      <c r="E305" s="1127"/>
      <c r="F305" s="1126"/>
    </row>
    <row r="306" spans="2:6" ht="16.5" x14ac:dyDescent="0.25">
      <c r="B306" s="1126"/>
      <c r="C306" s="1127"/>
      <c r="D306" s="1126"/>
      <c r="E306" s="1127"/>
      <c r="F306" s="1126"/>
    </row>
    <row r="307" spans="2:6" ht="16.5" x14ac:dyDescent="0.25">
      <c r="B307" s="1126"/>
      <c r="C307" s="1127"/>
      <c r="D307" s="1126"/>
      <c r="E307" s="1127"/>
      <c r="F307" s="1126"/>
    </row>
    <row r="308" spans="2:6" ht="16.5" x14ac:dyDescent="0.25">
      <c r="B308" s="1126"/>
      <c r="C308" s="1127"/>
      <c r="D308" s="1126"/>
      <c r="E308" s="1127"/>
      <c r="F308" s="1126"/>
    </row>
    <row r="309" spans="2:6" ht="16.5" x14ac:dyDescent="0.25">
      <c r="B309" s="1126"/>
      <c r="C309" s="1127"/>
      <c r="D309" s="1126"/>
      <c r="E309" s="1127"/>
      <c r="F309" s="1126"/>
    </row>
    <row r="310" spans="2:6" ht="16.5" x14ac:dyDescent="0.25">
      <c r="B310" s="1126"/>
      <c r="C310" s="1127"/>
      <c r="D310" s="1126"/>
      <c r="E310" s="1127"/>
      <c r="F310" s="1126"/>
    </row>
    <row r="311" spans="2:6" ht="16.5" x14ac:dyDescent="0.25">
      <c r="B311" s="1126"/>
      <c r="C311" s="1127"/>
      <c r="D311" s="1126"/>
      <c r="E311" s="1127"/>
      <c r="F311" s="1126"/>
    </row>
    <row r="312" spans="2:6" ht="16.5" x14ac:dyDescent="0.25">
      <c r="B312" s="1126"/>
      <c r="C312" s="1127"/>
      <c r="D312" s="1126"/>
      <c r="E312" s="1127"/>
      <c r="F312" s="1126"/>
    </row>
    <row r="313" spans="2:6" ht="16.5" x14ac:dyDescent="0.25">
      <c r="B313" s="1126"/>
      <c r="C313" s="1127"/>
      <c r="D313" s="1126"/>
      <c r="E313" s="1127"/>
      <c r="F313" s="1126"/>
    </row>
    <row r="314" spans="2:6" ht="16.5" x14ac:dyDescent="0.25">
      <c r="B314" s="1126"/>
      <c r="C314" s="1127"/>
      <c r="D314" s="1126"/>
      <c r="E314" s="1127"/>
      <c r="F314" s="1126"/>
    </row>
    <row r="315" spans="2:6" ht="16.5" x14ac:dyDescent="0.25">
      <c r="B315" s="1126"/>
      <c r="C315" s="1127"/>
      <c r="D315" s="1126"/>
      <c r="E315" s="1127"/>
      <c r="F315" s="1126"/>
    </row>
    <row r="316" spans="2:6" ht="16.5" x14ac:dyDescent="0.25">
      <c r="B316" s="1126"/>
      <c r="C316" s="1127"/>
      <c r="D316" s="1126"/>
      <c r="E316" s="1127"/>
      <c r="F316" s="1126"/>
    </row>
    <row r="317" spans="2:6" ht="16.5" x14ac:dyDescent="0.25">
      <c r="B317" s="1126"/>
      <c r="C317" s="1127"/>
      <c r="D317" s="1126"/>
      <c r="E317" s="1127"/>
      <c r="F317" s="1126"/>
    </row>
    <row r="318" spans="2:6" ht="16.5" x14ac:dyDescent="0.25">
      <c r="B318" s="1126"/>
      <c r="C318" s="1127"/>
      <c r="D318" s="1126"/>
      <c r="E318" s="1127"/>
      <c r="F318" s="1126"/>
    </row>
    <row r="319" spans="2:6" ht="16.5" x14ac:dyDescent="0.25">
      <c r="B319" s="1126"/>
      <c r="C319" s="1127"/>
      <c r="D319" s="1126"/>
      <c r="E319" s="1127"/>
      <c r="F319" s="1126"/>
    </row>
    <row r="320" spans="2:6" ht="16.5" x14ac:dyDescent="0.25">
      <c r="B320" s="1126"/>
      <c r="C320" s="1127"/>
      <c r="D320" s="1126"/>
      <c r="E320" s="1127"/>
      <c r="F320" s="1126"/>
    </row>
    <row r="321" spans="2:6" ht="16.5" x14ac:dyDescent="0.25">
      <c r="B321" s="1126"/>
      <c r="C321" s="1127"/>
      <c r="D321" s="1126"/>
      <c r="E321" s="1127"/>
      <c r="F321" s="1126"/>
    </row>
    <row r="322" spans="2:6" ht="16.5" x14ac:dyDescent="0.25">
      <c r="B322" s="1126"/>
      <c r="C322" s="1127"/>
      <c r="D322" s="1126"/>
      <c r="E322" s="1127"/>
      <c r="F322" s="1126"/>
    </row>
    <row r="323" spans="2:6" ht="16.5" x14ac:dyDescent="0.25">
      <c r="B323" s="1126"/>
      <c r="C323" s="1127"/>
      <c r="D323" s="1126"/>
      <c r="E323" s="1127"/>
      <c r="F323" s="1126"/>
    </row>
    <row r="324" spans="2:6" ht="16.5" x14ac:dyDescent="0.25">
      <c r="B324" s="1126"/>
      <c r="C324" s="1127"/>
      <c r="D324" s="1126"/>
      <c r="E324" s="1127"/>
      <c r="F324" s="1126"/>
    </row>
    <row r="325" spans="2:6" ht="16.5" x14ac:dyDescent="0.25">
      <c r="B325" s="1126"/>
      <c r="C325" s="1127"/>
      <c r="D325" s="1126"/>
      <c r="E325" s="1127"/>
      <c r="F325" s="1126"/>
    </row>
    <row r="326" spans="2:6" ht="16.5" x14ac:dyDescent="0.25">
      <c r="B326" s="1126"/>
      <c r="C326" s="1127"/>
      <c r="D326" s="1126"/>
      <c r="E326" s="1127"/>
      <c r="F326" s="1126"/>
    </row>
    <row r="327" spans="2:6" ht="16.5" x14ac:dyDescent="0.25">
      <c r="B327" s="1126"/>
      <c r="C327" s="1127"/>
      <c r="D327" s="1126"/>
      <c r="E327" s="1127"/>
      <c r="F327" s="1126"/>
    </row>
    <row r="328" spans="2:6" ht="16.5" x14ac:dyDescent="0.25">
      <c r="B328" s="1126"/>
      <c r="C328" s="1127"/>
      <c r="D328" s="1126"/>
      <c r="E328" s="1127"/>
      <c r="F328" s="1126"/>
    </row>
    <row r="329" spans="2:6" ht="16.5" x14ac:dyDescent="0.25">
      <c r="B329" s="1126"/>
      <c r="C329" s="1127"/>
      <c r="D329" s="1126"/>
      <c r="E329" s="1127"/>
      <c r="F329" s="1126"/>
    </row>
    <row r="330" spans="2:6" ht="16.5" x14ac:dyDescent="0.25">
      <c r="B330" s="1126"/>
      <c r="C330" s="1127"/>
      <c r="D330" s="1126"/>
      <c r="E330" s="1127"/>
      <c r="F330" s="1126"/>
    </row>
    <row r="331" spans="2:6" ht="16.5" x14ac:dyDescent="0.25">
      <c r="B331" s="1126"/>
      <c r="C331" s="1127"/>
      <c r="D331" s="1126"/>
      <c r="E331" s="1127"/>
      <c r="F331" s="1126"/>
    </row>
    <row r="332" spans="2:6" ht="16.5" x14ac:dyDescent="0.25">
      <c r="B332" s="1126"/>
      <c r="C332" s="1127"/>
      <c r="D332" s="1126"/>
      <c r="E332" s="1127"/>
      <c r="F332" s="1126"/>
    </row>
    <row r="333" spans="2:6" ht="16.5" x14ac:dyDescent="0.25">
      <c r="B333" s="1126"/>
      <c r="C333" s="1127"/>
      <c r="D333" s="1126"/>
      <c r="E333" s="1127"/>
      <c r="F333" s="1126"/>
    </row>
    <row r="334" spans="2:6" ht="16.5" x14ac:dyDescent="0.25">
      <c r="B334" s="1126"/>
      <c r="C334" s="1127"/>
      <c r="D334" s="1126"/>
      <c r="E334" s="1127"/>
      <c r="F334" s="1126"/>
    </row>
    <row r="335" spans="2:6" ht="16.5" x14ac:dyDescent="0.25">
      <c r="B335" s="1126"/>
      <c r="C335" s="1127"/>
      <c r="D335" s="1126"/>
      <c r="E335" s="1127"/>
      <c r="F335" s="1126"/>
    </row>
    <row r="336" spans="2:6" ht="16.5" x14ac:dyDescent="0.25">
      <c r="B336" s="1126"/>
      <c r="C336" s="1127"/>
      <c r="D336" s="1126"/>
      <c r="E336" s="1127"/>
      <c r="F336" s="1126"/>
    </row>
    <row r="337" spans="2:6" ht="16.5" x14ac:dyDescent="0.25">
      <c r="B337" s="1126"/>
      <c r="C337" s="1127"/>
      <c r="D337" s="1126"/>
      <c r="E337" s="1127"/>
      <c r="F337" s="1126"/>
    </row>
    <row r="338" spans="2:6" ht="16.5" x14ac:dyDescent="0.25">
      <c r="B338" s="1126"/>
      <c r="C338" s="1127"/>
      <c r="D338" s="1126"/>
      <c r="E338" s="1127"/>
      <c r="F338" s="1126"/>
    </row>
    <row r="339" spans="2:6" ht="16.5" x14ac:dyDescent="0.25">
      <c r="B339" s="1126"/>
      <c r="C339" s="1127"/>
      <c r="D339" s="1126"/>
      <c r="E339" s="1127"/>
      <c r="F339" s="1126"/>
    </row>
    <row r="340" spans="2:6" ht="16.5" x14ac:dyDescent="0.25">
      <c r="B340" s="1126"/>
      <c r="C340" s="1127"/>
      <c r="D340" s="1126"/>
      <c r="E340" s="1127"/>
      <c r="F340" s="1126"/>
    </row>
    <row r="341" spans="2:6" ht="16.5" x14ac:dyDescent="0.25">
      <c r="B341" s="1126"/>
      <c r="C341" s="1127"/>
      <c r="D341" s="1126"/>
      <c r="E341" s="1127"/>
      <c r="F341" s="1126"/>
    </row>
    <row r="342" spans="2:6" ht="16.5" x14ac:dyDescent="0.25">
      <c r="B342" s="1126"/>
      <c r="C342" s="1127"/>
      <c r="D342" s="1126"/>
      <c r="E342" s="1127"/>
      <c r="F342" s="1126"/>
    </row>
    <row r="343" spans="2:6" ht="16.5" x14ac:dyDescent="0.25">
      <c r="B343" s="1126"/>
      <c r="C343" s="1127"/>
      <c r="D343" s="1126"/>
      <c r="E343" s="1127"/>
      <c r="F343" s="1126"/>
    </row>
    <row r="344" spans="2:6" ht="16.5" x14ac:dyDescent="0.25">
      <c r="B344" s="1126"/>
      <c r="C344" s="1127"/>
      <c r="D344" s="1126"/>
      <c r="E344" s="1127"/>
      <c r="F344" s="1126"/>
    </row>
    <row r="345" spans="2:6" ht="16.5" x14ac:dyDescent="0.25">
      <c r="B345" s="1126"/>
      <c r="C345" s="1127"/>
      <c r="D345" s="1126"/>
      <c r="E345" s="1127"/>
      <c r="F345" s="1126"/>
    </row>
    <row r="346" spans="2:6" ht="16.5" x14ac:dyDescent="0.25">
      <c r="B346" s="1126"/>
      <c r="C346" s="1127"/>
      <c r="D346" s="1126"/>
      <c r="E346" s="1127"/>
      <c r="F346" s="1126"/>
    </row>
    <row r="347" spans="2:6" ht="16.5" x14ac:dyDescent="0.25">
      <c r="B347" s="1126"/>
      <c r="C347" s="1127"/>
      <c r="D347" s="1126"/>
      <c r="E347" s="1127"/>
      <c r="F347" s="1126"/>
    </row>
    <row r="348" spans="2:6" ht="16.5" x14ac:dyDescent="0.25">
      <c r="B348" s="1126"/>
      <c r="C348" s="1127"/>
      <c r="D348" s="1126"/>
      <c r="E348" s="1127"/>
      <c r="F348" s="1126"/>
    </row>
    <row r="349" spans="2:6" ht="16.5" x14ac:dyDescent="0.25">
      <c r="B349" s="1126"/>
      <c r="C349" s="1127"/>
      <c r="D349" s="1126"/>
      <c r="E349" s="1127"/>
      <c r="F349" s="1126"/>
    </row>
    <row r="350" spans="2:6" ht="16.5" x14ac:dyDescent="0.25">
      <c r="B350" s="1126"/>
      <c r="C350" s="1127"/>
      <c r="D350" s="1126"/>
      <c r="E350" s="1127"/>
      <c r="F350" s="1126"/>
    </row>
    <row r="351" spans="2:6" ht="16.5" x14ac:dyDescent="0.25">
      <c r="B351" s="1126"/>
      <c r="C351" s="1127"/>
      <c r="D351" s="1126"/>
      <c r="E351" s="1127"/>
      <c r="F351" s="1126"/>
    </row>
    <row r="352" spans="2:6" ht="16.5" x14ac:dyDescent="0.25">
      <c r="B352" s="1126"/>
      <c r="C352" s="1127"/>
      <c r="D352" s="1126"/>
      <c r="E352" s="1127"/>
      <c r="F352" s="1126"/>
    </row>
    <row r="353" spans="2:6" ht="16.5" x14ac:dyDescent="0.25">
      <c r="B353" s="1126"/>
      <c r="C353" s="1127"/>
      <c r="D353" s="1126"/>
      <c r="E353" s="1127"/>
      <c r="F353" s="1126"/>
    </row>
    <row r="354" spans="2:6" ht="16.5" x14ac:dyDescent="0.25">
      <c r="B354" s="1126"/>
      <c r="C354" s="1127"/>
      <c r="D354" s="1126"/>
      <c r="E354" s="1127"/>
      <c r="F354" s="1126"/>
    </row>
    <row r="355" spans="2:6" ht="16.5" x14ac:dyDescent="0.25">
      <c r="B355" s="1126"/>
      <c r="C355" s="1127"/>
      <c r="D355" s="1126"/>
      <c r="E355" s="1127"/>
      <c r="F355" s="1126"/>
    </row>
    <row r="356" spans="2:6" ht="16.5" x14ac:dyDescent="0.25">
      <c r="B356" s="1126"/>
      <c r="C356" s="1127"/>
      <c r="D356" s="1126"/>
      <c r="E356" s="1127"/>
      <c r="F356" s="1126"/>
    </row>
    <row r="357" spans="2:6" ht="16.5" x14ac:dyDescent="0.25">
      <c r="B357" s="1126"/>
      <c r="C357" s="1127"/>
      <c r="D357" s="1126"/>
      <c r="E357" s="1127"/>
      <c r="F357" s="1126"/>
    </row>
    <row r="358" spans="2:6" ht="16.5" x14ac:dyDescent="0.25">
      <c r="B358" s="1126"/>
      <c r="C358" s="1127"/>
      <c r="D358" s="1126"/>
      <c r="E358" s="1127"/>
      <c r="F358" s="1126"/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65" orientation="portrait" r:id="rId1"/>
  <headerFooter alignWithMargins="0">
    <oddHeader>&amp;C &amp;R&amp;"-,Félkövér"&amp;11 25. melléklet a …/2025. (…….) önkormányzati rendelethez</oddHeader>
    <oddFooter xml:space="preserve">&amp;C </oddFooter>
  </headerFooter>
  <rowBreaks count="3" manualBreakCount="3">
    <brk id="70" min="1" max="5" man="1"/>
    <brk id="134" min="1" max="5" man="1"/>
    <brk id="188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0BE2-4693-41E9-8779-017FC7C9A127}">
  <sheetPr>
    <tabColor theme="0"/>
  </sheetPr>
  <dimension ref="A2:T47"/>
  <sheetViews>
    <sheetView zoomScale="75" zoomScaleNormal="75" workbookViewId="0">
      <selection activeCell="I30" sqref="I30"/>
    </sheetView>
  </sheetViews>
  <sheetFormatPr defaultColWidth="12" defaultRowHeight="15" x14ac:dyDescent="0.2"/>
  <cols>
    <col min="1" max="1" width="6.6640625" style="671" customWidth="1"/>
    <col min="2" max="3" width="12" style="671" customWidth="1"/>
    <col min="4" max="4" width="111.33203125" style="671" customWidth="1"/>
    <col min="5" max="5" width="22.5" style="672" customWidth="1"/>
    <col min="6" max="6" width="24.83203125" style="671" customWidth="1"/>
    <col min="7" max="7" width="17.5" style="671" customWidth="1"/>
    <col min="8" max="8" width="25" style="671" customWidth="1"/>
    <col min="9" max="9" width="18.1640625" style="671" customWidth="1"/>
    <col min="10" max="10" width="12" style="671" customWidth="1"/>
    <col min="11" max="11" width="14.5" style="671" customWidth="1"/>
    <col min="12" max="16384" width="12" style="671"/>
  </cols>
  <sheetData>
    <row r="2" spans="1:20" ht="18" x14ac:dyDescent="0.25">
      <c r="F2" s="673"/>
    </row>
    <row r="3" spans="1:20" ht="24" customHeight="1" x14ac:dyDescent="0.3">
      <c r="A3" s="2013" t="s">
        <v>910</v>
      </c>
      <c r="B3" s="2013"/>
      <c r="C3" s="2013"/>
      <c r="D3" s="2013"/>
      <c r="E3" s="2013"/>
      <c r="F3" s="2013"/>
      <c r="G3" s="674"/>
    </row>
    <row r="4" spans="1:20" ht="24.75" customHeight="1" x14ac:dyDescent="0.3">
      <c r="A4" s="2013" t="s">
        <v>1123</v>
      </c>
      <c r="B4" s="2013"/>
      <c r="C4" s="2013"/>
      <c r="D4" s="2013"/>
      <c r="E4" s="2013"/>
      <c r="F4" s="2013"/>
      <c r="G4" s="675"/>
    </row>
    <row r="5" spans="1:20" ht="15.75" x14ac:dyDescent="0.25">
      <c r="A5" s="676"/>
      <c r="B5" s="676"/>
      <c r="C5" s="677"/>
      <c r="D5" s="677"/>
      <c r="E5" s="678"/>
      <c r="F5" s="676"/>
    </row>
    <row r="6" spans="1:20" ht="16.5" thickBot="1" x14ac:dyDescent="0.3">
      <c r="A6" s="676"/>
      <c r="B6" s="676" t="s">
        <v>51</v>
      </c>
      <c r="C6" s="676"/>
      <c r="D6" s="676"/>
      <c r="E6" s="679" t="s">
        <v>51</v>
      </c>
      <c r="F6" s="680" t="s">
        <v>14</v>
      </c>
      <c r="G6" s="681"/>
    </row>
    <row r="7" spans="1:20" s="687" customFormat="1" ht="18.75" x14ac:dyDescent="0.3">
      <c r="A7" s="682"/>
      <c r="B7" s="683" t="s">
        <v>51</v>
      </c>
      <c r="C7" s="683" t="s">
        <v>51</v>
      </c>
      <c r="D7" s="683"/>
      <c r="E7" s="684" t="s">
        <v>51</v>
      </c>
      <c r="F7" s="685"/>
      <c r="G7" s="686"/>
    </row>
    <row r="8" spans="1:20" s="687" customFormat="1" ht="18" customHeight="1" x14ac:dyDescent="0.3">
      <c r="A8" s="2014" t="s">
        <v>28</v>
      </c>
      <c r="B8" s="2013"/>
      <c r="C8" s="2013"/>
      <c r="D8" s="2013"/>
      <c r="E8" s="2015" t="s">
        <v>911</v>
      </c>
      <c r="F8" s="2016"/>
      <c r="G8" s="686"/>
    </row>
    <row r="9" spans="1:20" s="687" customFormat="1" ht="38.25" customHeight="1" thickBot="1" x14ac:dyDescent="0.35">
      <c r="A9" s="688"/>
      <c r="B9" s="689"/>
      <c r="C9" s="689"/>
      <c r="D9" s="689"/>
      <c r="E9" s="690" t="s">
        <v>806</v>
      </c>
      <c r="F9" s="691" t="s">
        <v>912</v>
      </c>
      <c r="G9" s="692"/>
      <c r="H9" s="693"/>
      <c r="L9" s="1"/>
      <c r="M9" s="694"/>
      <c r="N9" s="3"/>
      <c r="O9" s="3"/>
      <c r="P9" s="3"/>
    </row>
    <row r="10" spans="1:20" s="687" customFormat="1" ht="23.1" customHeight="1" x14ac:dyDescent="0.3">
      <c r="A10" s="695" t="s">
        <v>154</v>
      </c>
      <c r="B10" s="696" t="s">
        <v>913</v>
      </c>
      <c r="C10" s="697"/>
      <c r="D10" s="697"/>
      <c r="E10" s="698">
        <v>0</v>
      </c>
      <c r="F10" s="699">
        <f t="shared" ref="F10:F18" si="0">E10/E$18*100</f>
        <v>0</v>
      </c>
      <c r="G10" s="700"/>
      <c r="H10" s="701"/>
      <c r="L10" s="1"/>
      <c r="M10" s="694"/>
      <c r="N10" s="3"/>
      <c r="O10" s="3"/>
      <c r="P10" s="3"/>
    </row>
    <row r="11" spans="1:20" s="687" customFormat="1" ht="31.5" customHeight="1" thickBot="1" x14ac:dyDescent="0.35">
      <c r="A11" s="702" t="s">
        <v>32</v>
      </c>
      <c r="B11" s="703" t="s">
        <v>914</v>
      </c>
      <c r="C11" s="703"/>
      <c r="D11" s="703"/>
      <c r="E11" s="704">
        <f>SUM(E10:E10)</f>
        <v>0</v>
      </c>
      <c r="F11" s="705">
        <f t="shared" si="0"/>
        <v>0</v>
      </c>
      <c r="H11" s="701"/>
      <c r="L11" s="1"/>
      <c r="M11" s="694"/>
      <c r="N11" s="3"/>
      <c r="O11" s="3"/>
      <c r="P11" s="3"/>
    </row>
    <row r="12" spans="1:20" s="707" customFormat="1" ht="22.5" customHeight="1" x14ac:dyDescent="0.3">
      <c r="A12" s="695" t="s">
        <v>155</v>
      </c>
      <c r="B12" s="697" t="s">
        <v>915</v>
      </c>
      <c r="C12" s="697"/>
      <c r="D12" s="697"/>
      <c r="E12" s="698">
        <v>0</v>
      </c>
      <c r="F12" s="699">
        <f t="shared" si="0"/>
        <v>0</v>
      </c>
      <c r="G12" s="706"/>
      <c r="H12" s="706"/>
      <c r="I12" s="706"/>
      <c r="J12" s="706"/>
      <c r="K12" s="706"/>
      <c r="L12" s="706"/>
      <c r="M12" s="706"/>
      <c r="N12" s="706"/>
      <c r="O12" s="706"/>
      <c r="P12" s="706"/>
      <c r="Q12" s="706"/>
      <c r="R12" s="706"/>
      <c r="S12" s="706"/>
      <c r="T12" s="706"/>
    </row>
    <row r="13" spans="1:20" s="687" customFormat="1" ht="32.25" customHeight="1" thickBot="1" x14ac:dyDescent="0.35">
      <c r="A13" s="702" t="s">
        <v>156</v>
      </c>
      <c r="B13" s="708" t="s">
        <v>916</v>
      </c>
      <c r="C13" s="708"/>
      <c r="D13" s="708"/>
      <c r="E13" s="709">
        <f>SUM(E12:E12)</f>
        <v>0</v>
      </c>
      <c r="F13" s="705">
        <f t="shared" si="0"/>
        <v>0</v>
      </c>
      <c r="G13" s="700"/>
      <c r="H13" s="701"/>
    </row>
    <row r="14" spans="1:20" s="707" customFormat="1" ht="23.1" customHeight="1" x14ac:dyDescent="0.3">
      <c r="A14" s="710" t="s">
        <v>158</v>
      </c>
      <c r="B14" s="697" t="s">
        <v>917</v>
      </c>
      <c r="C14" s="697"/>
      <c r="D14" s="697"/>
      <c r="E14" s="711">
        <v>24511</v>
      </c>
      <c r="F14" s="712">
        <f t="shared" si="0"/>
        <v>5.7335806633465811</v>
      </c>
      <c r="G14" s="706"/>
      <c r="H14" s="706"/>
      <c r="I14" s="706"/>
      <c r="J14" s="706"/>
      <c r="K14" s="706"/>
      <c r="L14" s="706"/>
      <c r="M14" s="706"/>
      <c r="N14" s="706"/>
      <c r="O14" s="706"/>
      <c r="P14" s="706"/>
      <c r="Q14" s="706"/>
      <c r="R14" s="706"/>
      <c r="S14" s="706"/>
      <c r="T14" s="706"/>
    </row>
    <row r="15" spans="1:20" s="687" customFormat="1" ht="39" customHeight="1" x14ac:dyDescent="0.3">
      <c r="A15" s="695" t="s">
        <v>308</v>
      </c>
      <c r="B15" s="2010" t="s">
        <v>918</v>
      </c>
      <c r="C15" s="2011"/>
      <c r="D15" s="2012"/>
      <c r="E15" s="711">
        <v>402988</v>
      </c>
      <c r="F15" s="699">
        <f t="shared" si="0"/>
        <v>94.266419336653414</v>
      </c>
      <c r="G15" s="713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</row>
    <row r="16" spans="1:20" s="687" customFormat="1" ht="39" customHeight="1" x14ac:dyDescent="0.3">
      <c r="A16" s="695" t="s">
        <v>919</v>
      </c>
      <c r="B16" s="2010" t="s">
        <v>920</v>
      </c>
      <c r="C16" s="2011"/>
      <c r="D16" s="2012"/>
      <c r="E16" s="698">
        <v>0</v>
      </c>
      <c r="F16" s="699">
        <f t="shared" si="0"/>
        <v>0</v>
      </c>
      <c r="G16" s="713"/>
      <c r="H16" s="706"/>
      <c r="I16" s="706"/>
      <c r="J16" s="706"/>
      <c r="K16" s="706"/>
      <c r="L16" s="706"/>
      <c r="M16" s="706"/>
      <c r="N16" s="706"/>
      <c r="O16" s="706"/>
      <c r="P16" s="706"/>
      <c r="Q16" s="706"/>
      <c r="R16" s="706"/>
      <c r="S16" s="706"/>
      <c r="T16" s="706"/>
    </row>
    <row r="17" spans="1:12" s="687" customFormat="1" ht="32.25" customHeight="1" thickBot="1" x14ac:dyDescent="0.35">
      <c r="A17" s="702" t="s">
        <v>921</v>
      </c>
      <c r="B17" s="708" t="s">
        <v>922</v>
      </c>
      <c r="C17" s="708"/>
      <c r="D17" s="708"/>
      <c r="E17" s="709">
        <f>SUM(E14:E16)</f>
        <v>427499</v>
      </c>
      <c r="F17" s="705">
        <f t="shared" si="0"/>
        <v>100</v>
      </c>
      <c r="G17" s="714"/>
      <c r="H17" s="701"/>
    </row>
    <row r="18" spans="1:12" s="716" customFormat="1" ht="20.100000000000001" customHeight="1" thickBot="1" x14ac:dyDescent="0.35">
      <c r="A18" s="702" t="s">
        <v>923</v>
      </c>
      <c r="B18" s="703" t="s">
        <v>924</v>
      </c>
      <c r="C18" s="703"/>
      <c r="D18" s="703"/>
      <c r="E18" s="704">
        <f>+E11+E13+E17</f>
        <v>427499</v>
      </c>
      <c r="F18" s="1234">
        <f t="shared" si="0"/>
        <v>100</v>
      </c>
      <c r="G18" s="715"/>
      <c r="H18" s="701"/>
      <c r="I18" s="687"/>
      <c r="J18" s="687"/>
      <c r="K18" s="707"/>
    </row>
    <row r="19" spans="1:12" s="687" customFormat="1" ht="23.1" customHeight="1" x14ac:dyDescent="0.25">
      <c r="E19" s="701"/>
      <c r="F19" s="700"/>
      <c r="G19" s="701"/>
      <c r="H19" s="701"/>
    </row>
    <row r="20" spans="1:12" s="687" customFormat="1" ht="23.1" customHeight="1" x14ac:dyDescent="0.25">
      <c r="A20" s="671"/>
      <c r="B20" s="671"/>
      <c r="C20" s="671"/>
      <c r="D20" s="671"/>
      <c r="E20" s="672"/>
      <c r="F20" s="672"/>
      <c r="G20" s="701"/>
      <c r="H20" s="701"/>
    </row>
    <row r="21" spans="1:12" s="687" customFormat="1" ht="23.1" customHeight="1" x14ac:dyDescent="0.25">
      <c r="A21" s="671"/>
      <c r="B21" s="671"/>
      <c r="C21" s="671"/>
      <c r="D21" s="671"/>
      <c r="E21" s="672"/>
      <c r="F21" s="672"/>
      <c r="G21" s="700"/>
    </row>
    <row r="22" spans="1:12" s="687" customFormat="1" ht="23.1" customHeight="1" x14ac:dyDescent="0.25">
      <c r="A22" s="671"/>
      <c r="B22" s="671"/>
      <c r="C22" s="671"/>
      <c r="D22" s="671"/>
      <c r="E22" s="672"/>
      <c r="F22" s="672"/>
      <c r="G22" s="700"/>
      <c r="J22" s="701"/>
    </row>
    <row r="23" spans="1:12" s="687" customFormat="1" ht="29.25" customHeight="1" x14ac:dyDescent="0.25">
      <c r="A23" s="671"/>
      <c r="B23" s="671"/>
      <c r="C23" s="671"/>
      <c r="D23" s="671"/>
      <c r="E23" s="672"/>
      <c r="F23" s="672"/>
      <c r="G23" s="700"/>
    </row>
    <row r="24" spans="1:12" ht="20.100000000000001" customHeight="1" x14ac:dyDescent="0.25">
      <c r="F24" s="672"/>
      <c r="G24" s="717"/>
      <c r="I24" s="672"/>
    </row>
    <row r="25" spans="1:12" ht="20.100000000000001" customHeight="1" x14ac:dyDescent="0.25">
      <c r="F25" s="672"/>
      <c r="G25" s="717"/>
      <c r="I25" s="672"/>
    </row>
    <row r="26" spans="1:12" ht="20.100000000000001" customHeight="1" x14ac:dyDescent="0.2">
      <c r="F26" s="672"/>
      <c r="G26" s="718"/>
      <c r="I26" s="672"/>
    </row>
    <row r="27" spans="1:12" ht="30.75" customHeight="1" x14ac:dyDescent="0.25">
      <c r="F27" s="672"/>
      <c r="G27" s="719"/>
      <c r="I27" s="672"/>
    </row>
    <row r="28" spans="1:12" ht="20.100000000000001" customHeight="1" x14ac:dyDescent="0.25">
      <c r="F28" s="672"/>
      <c r="G28" s="717"/>
      <c r="L28" s="672"/>
    </row>
    <row r="29" spans="1:12" ht="14.25" customHeight="1" x14ac:dyDescent="0.25">
      <c r="F29" s="672"/>
      <c r="G29" s="720"/>
      <c r="L29" s="672"/>
    </row>
    <row r="30" spans="1:12" x14ac:dyDescent="0.2">
      <c r="F30" s="672"/>
      <c r="I30" s="672"/>
      <c r="L30" s="672"/>
    </row>
    <row r="31" spans="1:12" x14ac:dyDescent="0.2">
      <c r="F31" s="672"/>
      <c r="G31" s="672"/>
      <c r="I31" s="672"/>
    </row>
    <row r="32" spans="1:12" x14ac:dyDescent="0.2">
      <c r="F32" s="672"/>
      <c r="G32" s="672"/>
      <c r="H32" s="672"/>
      <c r="I32" s="672"/>
    </row>
    <row r="33" spans="7:15" x14ac:dyDescent="0.2">
      <c r="G33" s="672"/>
      <c r="I33" s="672">
        <f>+I31-I32</f>
        <v>0</v>
      </c>
    </row>
    <row r="34" spans="7:15" x14ac:dyDescent="0.2">
      <c r="G34" s="672"/>
      <c r="K34" s="672"/>
    </row>
    <row r="35" spans="7:15" x14ac:dyDescent="0.2">
      <c r="G35" s="672"/>
      <c r="H35" s="672"/>
      <c r="K35" s="672"/>
    </row>
    <row r="36" spans="7:15" x14ac:dyDescent="0.2">
      <c r="G36" s="672"/>
      <c r="H36" s="672"/>
      <c r="O36" s="672"/>
    </row>
    <row r="37" spans="7:15" x14ac:dyDescent="0.2">
      <c r="G37" s="672"/>
      <c r="H37" s="672"/>
    </row>
    <row r="38" spans="7:15" x14ac:dyDescent="0.2">
      <c r="G38" s="672"/>
      <c r="H38" s="672"/>
    </row>
    <row r="39" spans="7:15" x14ac:dyDescent="0.2">
      <c r="G39" s="672"/>
      <c r="H39" s="672"/>
    </row>
    <row r="40" spans="7:15" x14ac:dyDescent="0.2">
      <c r="G40" s="672"/>
      <c r="H40" s="672"/>
      <c r="K40" s="672"/>
    </row>
    <row r="41" spans="7:15" x14ac:dyDescent="0.2">
      <c r="G41" s="672"/>
    </row>
    <row r="42" spans="7:15" x14ac:dyDescent="0.2">
      <c r="G42" s="672"/>
    </row>
    <row r="43" spans="7:15" x14ac:dyDescent="0.2">
      <c r="G43" s="672"/>
    </row>
    <row r="44" spans="7:15" x14ac:dyDescent="0.2">
      <c r="G44" s="672"/>
    </row>
    <row r="45" spans="7:15" x14ac:dyDescent="0.2">
      <c r="O45" s="672"/>
    </row>
    <row r="46" spans="7:15" x14ac:dyDescent="0.2">
      <c r="O46" s="672"/>
    </row>
    <row r="47" spans="7:15" x14ac:dyDescent="0.2">
      <c r="O47" s="672"/>
    </row>
  </sheetData>
  <mergeCells count="6">
    <mergeCell ref="B16:D16"/>
    <mergeCell ref="A3:F3"/>
    <mergeCell ref="A4:F4"/>
    <mergeCell ref="A8:D8"/>
    <mergeCell ref="E8:F8"/>
    <mergeCell ref="B15:D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5" orientation="portrait" r:id="rId1"/>
  <headerFooter alignWithMargins="0">
    <oddHeader xml:space="preserve">&amp;R&amp;"Arial,Félkövér"&amp;11  &amp;"Calibri,Félkövér" 26. melléklet a …../2025. (…….) önkormányzati rendelethez&amp;"Arial,Félkövér"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B5CC-A9FD-4CE9-89EF-078C17390E5E}">
  <sheetPr>
    <tabColor theme="0"/>
  </sheetPr>
  <dimension ref="A2:O41"/>
  <sheetViews>
    <sheetView zoomScale="200" zoomScaleNormal="200" workbookViewId="0">
      <selection activeCell="I30" sqref="I30"/>
    </sheetView>
  </sheetViews>
  <sheetFormatPr defaultColWidth="10.6640625" defaultRowHeight="12.75" x14ac:dyDescent="0.2"/>
  <cols>
    <col min="1" max="1" width="4.33203125" style="722" customWidth="1"/>
    <col min="2" max="2" width="5.5" style="722" customWidth="1"/>
    <col min="3" max="3" width="10.6640625" style="722" customWidth="1"/>
    <col min="4" max="4" width="48.6640625" style="722" customWidth="1"/>
    <col min="5" max="5" width="16.83203125" style="722" customWidth="1"/>
    <col min="6" max="7" width="12.5" style="722" customWidth="1"/>
    <col min="8" max="8" width="13.6640625" style="722" customWidth="1"/>
    <col min="9" max="9" width="16.33203125" style="722" customWidth="1"/>
    <col min="10" max="10" width="13.6640625" style="722" customWidth="1"/>
    <col min="11" max="11" width="15.5" style="722" customWidth="1"/>
    <col min="12" max="12" width="10.6640625" style="722"/>
    <col min="13" max="13" width="11.83203125" style="722" bestFit="1" customWidth="1"/>
    <col min="14" max="14" width="10.6640625" style="722"/>
    <col min="15" max="15" width="13" style="722" customWidth="1"/>
    <col min="16" max="16384" width="10.6640625" style="722"/>
  </cols>
  <sheetData>
    <row r="2" spans="1:12" ht="21" customHeight="1" x14ac:dyDescent="0.25">
      <c r="A2" s="2037" t="s">
        <v>1303</v>
      </c>
      <c r="B2" s="2037"/>
      <c r="C2" s="2037"/>
      <c r="D2" s="2037"/>
      <c r="E2" s="2037"/>
      <c r="F2" s="2037"/>
      <c r="G2" s="2037"/>
      <c r="H2" s="2037"/>
      <c r="I2" s="2037"/>
      <c r="J2" s="2037"/>
      <c r="K2" s="2037"/>
      <c r="L2" s="721"/>
    </row>
    <row r="3" spans="1:12" x14ac:dyDescent="0.2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</row>
    <row r="4" spans="1:12" ht="13.5" thickBot="1" x14ac:dyDescent="0.25">
      <c r="A4" s="2038"/>
      <c r="B4" s="2038"/>
      <c r="C4" s="2038"/>
      <c r="D4" s="2038"/>
      <c r="E4" s="2038"/>
      <c r="F4" s="2038"/>
      <c r="G4" s="2038"/>
      <c r="H4" s="2038"/>
      <c r="I4" s="2038"/>
      <c r="J4" s="2038"/>
      <c r="K4" s="724"/>
    </row>
    <row r="5" spans="1:12" ht="15" x14ac:dyDescent="0.25">
      <c r="A5" s="2039" t="s">
        <v>656</v>
      </c>
      <c r="B5" s="2040"/>
      <c r="C5" s="2045" t="s">
        <v>28</v>
      </c>
      <c r="D5" s="2040"/>
      <c r="E5" s="2048" t="s">
        <v>925</v>
      </c>
      <c r="F5" s="2049"/>
      <c r="G5" s="2049"/>
      <c r="H5" s="2049"/>
      <c r="I5" s="2049"/>
      <c r="J5" s="2049"/>
      <c r="K5" s="2050"/>
    </row>
    <row r="6" spans="1:12" ht="15" x14ac:dyDescent="0.25">
      <c r="A6" s="2041"/>
      <c r="B6" s="2042"/>
      <c r="C6" s="2046"/>
      <c r="D6" s="2042"/>
      <c r="E6" s="2051" t="s">
        <v>926</v>
      </c>
      <c r="F6" s="2052"/>
      <c r="G6" s="2053"/>
      <c r="H6" s="2051" t="s">
        <v>927</v>
      </c>
      <c r="I6" s="2052"/>
      <c r="J6" s="2052"/>
      <c r="K6" s="2054"/>
    </row>
    <row r="7" spans="1:12" ht="15" x14ac:dyDescent="0.25">
      <c r="A7" s="2041"/>
      <c r="B7" s="2042"/>
      <c r="C7" s="2046"/>
      <c r="D7" s="2042"/>
      <c r="E7" s="2055" t="s">
        <v>928</v>
      </c>
      <c r="F7" s="2057" t="s">
        <v>929</v>
      </c>
      <c r="G7" s="2058"/>
      <c r="H7" s="2061" t="s">
        <v>930</v>
      </c>
      <c r="I7" s="2062"/>
      <c r="J7" s="2057" t="s">
        <v>931</v>
      </c>
      <c r="K7" s="2063"/>
    </row>
    <row r="8" spans="1:12" ht="15" x14ac:dyDescent="0.25">
      <c r="A8" s="2041"/>
      <c r="B8" s="2042"/>
      <c r="C8" s="2046"/>
      <c r="D8" s="2042"/>
      <c r="E8" s="2056"/>
      <c r="F8" s="2059"/>
      <c r="G8" s="2060"/>
      <c r="H8" s="2065" t="s">
        <v>932</v>
      </c>
      <c r="I8" s="2066"/>
      <c r="J8" s="2059"/>
      <c r="K8" s="2064"/>
    </row>
    <row r="9" spans="1:12" ht="15" x14ac:dyDescent="0.25">
      <c r="A9" s="2041"/>
      <c r="B9" s="2042"/>
      <c r="C9" s="2046"/>
      <c r="D9" s="2042"/>
      <c r="E9" s="725" t="s">
        <v>933</v>
      </c>
      <c r="F9" s="725" t="s">
        <v>934</v>
      </c>
      <c r="G9" s="725" t="s">
        <v>935</v>
      </c>
      <c r="H9" s="725" t="s">
        <v>936</v>
      </c>
      <c r="I9" s="725" t="s">
        <v>937</v>
      </c>
      <c r="J9" s="725" t="s">
        <v>936</v>
      </c>
      <c r="K9" s="726" t="s">
        <v>937</v>
      </c>
    </row>
    <row r="10" spans="1:12" ht="15.75" thickBot="1" x14ac:dyDescent="0.3">
      <c r="A10" s="2043"/>
      <c r="B10" s="2044"/>
      <c r="C10" s="2047"/>
      <c r="D10" s="2044"/>
      <c r="E10" s="727" t="s">
        <v>938</v>
      </c>
      <c r="F10" s="727" t="s">
        <v>939</v>
      </c>
      <c r="G10" s="727" t="s">
        <v>940</v>
      </c>
      <c r="H10" s="727" t="s">
        <v>941</v>
      </c>
      <c r="I10" s="727" t="s">
        <v>942</v>
      </c>
      <c r="J10" s="727" t="s">
        <v>943</v>
      </c>
      <c r="K10" s="728" t="s">
        <v>944</v>
      </c>
    </row>
    <row r="11" spans="1:12" ht="15" customHeight="1" x14ac:dyDescent="0.25">
      <c r="A11" s="2025" t="s">
        <v>945</v>
      </c>
      <c r="B11" s="2033"/>
      <c r="C11" s="2034" t="s">
        <v>946</v>
      </c>
      <c r="D11" s="2035"/>
      <c r="E11" s="729">
        <v>4053</v>
      </c>
      <c r="F11" s="730">
        <v>1647</v>
      </c>
      <c r="G11" s="729">
        <v>7025</v>
      </c>
      <c r="H11" s="730">
        <v>4051</v>
      </c>
      <c r="I11" s="729">
        <v>124693964</v>
      </c>
      <c r="J11" s="730">
        <v>2226</v>
      </c>
      <c r="K11" s="731">
        <v>76242742</v>
      </c>
    </row>
    <row r="12" spans="1:12" ht="15" customHeight="1" x14ac:dyDescent="0.25">
      <c r="A12" s="2019" t="s">
        <v>947</v>
      </c>
      <c r="B12" s="2020"/>
      <c r="C12" s="2023" t="s">
        <v>948</v>
      </c>
      <c r="D12" s="2024"/>
      <c r="E12" s="732">
        <v>0</v>
      </c>
      <c r="F12" s="733">
        <v>0</v>
      </c>
      <c r="G12" s="732">
        <v>0</v>
      </c>
      <c r="H12" s="733">
        <v>0</v>
      </c>
      <c r="I12" s="732">
        <v>0</v>
      </c>
      <c r="J12" s="733">
        <v>0</v>
      </c>
      <c r="K12" s="734">
        <v>0</v>
      </c>
    </row>
    <row r="13" spans="1:12" ht="15" customHeight="1" x14ac:dyDescent="0.25">
      <c r="A13" s="2019" t="s">
        <v>949</v>
      </c>
      <c r="B13" s="2020"/>
      <c r="C13" s="2023" t="s">
        <v>950</v>
      </c>
      <c r="D13" s="2024"/>
      <c r="E13" s="732">
        <v>0</v>
      </c>
      <c r="F13" s="733">
        <v>0</v>
      </c>
      <c r="G13" s="732">
        <v>0</v>
      </c>
      <c r="H13" s="733">
        <v>0</v>
      </c>
      <c r="I13" s="732">
        <v>0</v>
      </c>
      <c r="J13" s="733">
        <v>0</v>
      </c>
      <c r="K13" s="734">
        <v>0</v>
      </c>
    </row>
    <row r="14" spans="1:12" ht="15" customHeight="1" x14ac:dyDescent="0.25">
      <c r="A14" s="2019" t="s">
        <v>951</v>
      </c>
      <c r="B14" s="2020"/>
      <c r="C14" s="2023" t="s">
        <v>952</v>
      </c>
      <c r="D14" s="2024"/>
      <c r="E14" s="732">
        <v>0</v>
      </c>
      <c r="F14" s="733"/>
      <c r="G14" s="732"/>
      <c r="H14" s="733">
        <v>0</v>
      </c>
      <c r="I14" s="732">
        <v>0</v>
      </c>
      <c r="J14" s="733">
        <v>0</v>
      </c>
      <c r="K14" s="734">
        <v>0</v>
      </c>
    </row>
    <row r="15" spans="1:12" ht="15" customHeight="1" thickBot="1" x14ac:dyDescent="0.3">
      <c r="A15" s="2027" t="s">
        <v>953</v>
      </c>
      <c r="B15" s="2028"/>
      <c r="C15" s="2029" t="s">
        <v>954</v>
      </c>
      <c r="D15" s="2030"/>
      <c r="E15" s="735">
        <v>4053</v>
      </c>
      <c r="F15" s="735">
        <v>1647</v>
      </c>
      <c r="G15" s="735">
        <v>7025</v>
      </c>
      <c r="H15" s="735">
        <v>4051</v>
      </c>
      <c r="I15" s="735">
        <v>124693964</v>
      </c>
      <c r="J15" s="735">
        <v>2226</v>
      </c>
      <c r="K15" s="736">
        <v>76242742</v>
      </c>
    </row>
    <row r="16" spans="1:12" ht="15" customHeight="1" x14ac:dyDescent="0.25">
      <c r="A16" s="2031" t="s">
        <v>955</v>
      </c>
      <c r="B16" s="2032"/>
      <c r="C16" s="737" t="s">
        <v>956</v>
      </c>
      <c r="D16" s="738"/>
      <c r="E16" s="739">
        <v>3</v>
      </c>
      <c r="F16" s="740">
        <v>18</v>
      </c>
      <c r="G16" s="739">
        <v>5032</v>
      </c>
      <c r="H16" s="740">
        <v>3</v>
      </c>
      <c r="I16" s="739">
        <v>58587448</v>
      </c>
      <c r="J16" s="740">
        <v>3</v>
      </c>
      <c r="K16" s="741">
        <v>58587448</v>
      </c>
    </row>
    <row r="17" spans="1:15" ht="15" customHeight="1" x14ac:dyDescent="0.25">
      <c r="A17" s="2025" t="s">
        <v>957</v>
      </c>
      <c r="B17" s="2033"/>
      <c r="C17" s="2034" t="s">
        <v>958</v>
      </c>
      <c r="D17" s="2035"/>
      <c r="E17" s="729">
        <v>0</v>
      </c>
      <c r="F17" s="730">
        <v>0</v>
      </c>
      <c r="G17" s="729">
        <v>0</v>
      </c>
      <c r="H17" s="730">
        <v>0</v>
      </c>
      <c r="I17" s="729">
        <v>0</v>
      </c>
      <c r="J17" s="730">
        <v>0</v>
      </c>
      <c r="K17" s="731">
        <v>0</v>
      </c>
    </row>
    <row r="18" spans="1:15" ht="15" customHeight="1" x14ac:dyDescent="0.25">
      <c r="A18" s="2019" t="s">
        <v>959</v>
      </c>
      <c r="B18" s="2020"/>
      <c r="C18" s="742" t="s">
        <v>960</v>
      </c>
      <c r="D18" s="743" t="s">
        <v>961</v>
      </c>
      <c r="E18" s="732">
        <v>3466</v>
      </c>
      <c r="F18" s="733">
        <v>875</v>
      </c>
      <c r="G18" s="732">
        <v>475</v>
      </c>
      <c r="H18" s="733">
        <v>3465</v>
      </c>
      <c r="I18" s="732">
        <v>119135851</v>
      </c>
      <c r="J18" s="733">
        <v>1666</v>
      </c>
      <c r="K18" s="734">
        <v>74237301</v>
      </c>
    </row>
    <row r="19" spans="1:15" ht="15" customHeight="1" x14ac:dyDescent="0.25">
      <c r="A19" s="2025" t="s">
        <v>962</v>
      </c>
      <c r="B19" s="2033"/>
      <c r="C19" s="744" t="s">
        <v>963</v>
      </c>
      <c r="D19" s="743" t="s">
        <v>964</v>
      </c>
      <c r="E19" s="732">
        <v>587</v>
      </c>
      <c r="F19" s="733">
        <v>772</v>
      </c>
      <c r="G19" s="732">
        <v>6550</v>
      </c>
      <c r="H19" s="733">
        <v>586</v>
      </c>
      <c r="I19" s="732">
        <v>5558113</v>
      </c>
      <c r="J19" s="733">
        <v>560</v>
      </c>
      <c r="K19" s="734">
        <v>2005441</v>
      </c>
      <c r="L19" s="745"/>
      <c r="M19" s="745"/>
      <c r="N19" s="745"/>
      <c r="O19" s="745"/>
    </row>
    <row r="20" spans="1:15" ht="15" customHeight="1" x14ac:dyDescent="0.25">
      <c r="A20" s="2017" t="s">
        <v>965</v>
      </c>
      <c r="B20" s="2036"/>
      <c r="C20" s="746"/>
      <c r="D20" s="747" t="s">
        <v>966</v>
      </c>
      <c r="E20" s="748">
        <v>1946</v>
      </c>
      <c r="F20" s="749">
        <v>857</v>
      </c>
      <c r="G20" s="748">
        <v>7423</v>
      </c>
      <c r="H20" s="749">
        <v>1944</v>
      </c>
      <c r="I20" s="748">
        <v>56452626</v>
      </c>
      <c r="J20" s="749">
        <v>1809</v>
      </c>
      <c r="K20" s="750">
        <v>39265898</v>
      </c>
    </row>
    <row r="21" spans="1:15" ht="15" customHeight="1" x14ac:dyDescent="0.25">
      <c r="A21" s="2019" t="s">
        <v>967</v>
      </c>
      <c r="B21" s="2020"/>
      <c r="C21" s="751" t="s">
        <v>960</v>
      </c>
      <c r="D21" s="743" t="s">
        <v>968</v>
      </c>
      <c r="E21" s="752">
        <v>855</v>
      </c>
      <c r="F21" s="733">
        <v>411</v>
      </c>
      <c r="G21" s="732">
        <v>5045</v>
      </c>
      <c r="H21" s="733">
        <v>855</v>
      </c>
      <c r="I21" s="732">
        <v>67065241</v>
      </c>
      <c r="J21" s="733">
        <v>361</v>
      </c>
      <c r="K21" s="734">
        <v>33914275</v>
      </c>
    </row>
    <row r="22" spans="1:15" ht="15" customHeight="1" x14ac:dyDescent="0.25">
      <c r="A22" s="2025" t="s">
        <v>969</v>
      </c>
      <c r="B22" s="2033"/>
      <c r="C22" s="753" t="s">
        <v>963</v>
      </c>
      <c r="D22" s="754" t="s">
        <v>970</v>
      </c>
      <c r="E22" s="729">
        <v>1252</v>
      </c>
      <c r="F22" s="730">
        <v>378</v>
      </c>
      <c r="G22" s="729">
        <v>4557</v>
      </c>
      <c r="H22" s="730">
        <v>1252</v>
      </c>
      <c r="I22" s="729">
        <v>1176097</v>
      </c>
      <c r="J22" s="730">
        <v>56</v>
      </c>
      <c r="K22" s="731">
        <v>3062569</v>
      </c>
      <c r="L22" s="745"/>
      <c r="M22" s="745"/>
      <c r="N22" s="745"/>
      <c r="O22" s="745"/>
    </row>
    <row r="23" spans="1:15" ht="15" customHeight="1" x14ac:dyDescent="0.25">
      <c r="A23" s="2019" t="s">
        <v>971</v>
      </c>
      <c r="B23" s="2020"/>
      <c r="C23" s="2023" t="s">
        <v>972</v>
      </c>
      <c r="D23" s="2024"/>
      <c r="E23" s="732">
        <v>1140</v>
      </c>
      <c r="F23" s="733">
        <v>1087</v>
      </c>
      <c r="G23" s="732">
        <v>3027</v>
      </c>
      <c r="H23" s="733">
        <v>1140</v>
      </c>
      <c r="I23" s="732">
        <v>31234424</v>
      </c>
      <c r="J23" s="733">
        <v>1018</v>
      </c>
      <c r="K23" s="734">
        <v>18959277</v>
      </c>
    </row>
    <row r="24" spans="1:15" ht="15" customHeight="1" x14ac:dyDescent="0.25">
      <c r="A24" s="2017" t="s">
        <v>973</v>
      </c>
      <c r="B24" s="2018"/>
      <c r="C24" s="747"/>
      <c r="D24" s="747" t="s">
        <v>974</v>
      </c>
      <c r="E24" s="748">
        <v>1061</v>
      </c>
      <c r="F24" s="749">
        <v>966</v>
      </c>
      <c r="G24" s="748">
        <v>9564</v>
      </c>
      <c r="H24" s="749">
        <v>1061</v>
      </c>
      <c r="I24" s="748">
        <v>31076426</v>
      </c>
      <c r="J24" s="749">
        <v>939</v>
      </c>
      <c r="K24" s="750">
        <v>18811764</v>
      </c>
    </row>
    <row r="25" spans="1:15" ht="15" customHeight="1" x14ac:dyDescent="0.25">
      <c r="A25" s="2019" t="s">
        <v>975</v>
      </c>
      <c r="B25" s="2020"/>
      <c r="C25" s="755" t="s">
        <v>976</v>
      </c>
      <c r="D25" s="743" t="s">
        <v>977</v>
      </c>
      <c r="E25" s="752">
        <v>77</v>
      </c>
      <c r="F25" s="733">
        <v>118</v>
      </c>
      <c r="G25" s="732">
        <v>5888</v>
      </c>
      <c r="H25" s="733">
        <v>77</v>
      </c>
      <c r="I25" s="732">
        <v>152805</v>
      </c>
      <c r="J25" s="733">
        <v>77</v>
      </c>
      <c r="K25" s="734">
        <v>145117</v>
      </c>
    </row>
    <row r="26" spans="1:15" ht="15" customHeight="1" x14ac:dyDescent="0.25">
      <c r="A26" s="2025" t="s">
        <v>978</v>
      </c>
      <c r="B26" s="2026"/>
      <c r="C26" s="754" t="s">
        <v>963</v>
      </c>
      <c r="D26" s="754" t="s">
        <v>979</v>
      </c>
      <c r="E26" s="729">
        <v>2</v>
      </c>
      <c r="F26" s="730">
        <v>1</v>
      </c>
      <c r="G26" s="729">
        <v>7575</v>
      </c>
      <c r="H26" s="730">
        <v>2</v>
      </c>
      <c r="I26" s="729">
        <v>5193</v>
      </c>
      <c r="J26" s="730">
        <v>2</v>
      </c>
      <c r="K26" s="731">
        <v>2396</v>
      </c>
    </row>
    <row r="27" spans="1:15" ht="15" customHeight="1" x14ac:dyDescent="0.25">
      <c r="A27" s="2019" t="s">
        <v>980</v>
      </c>
      <c r="B27" s="2020"/>
      <c r="C27" s="2023" t="s">
        <v>981</v>
      </c>
      <c r="D27" s="2024"/>
      <c r="E27" s="732">
        <v>1266</v>
      </c>
      <c r="F27" s="733">
        <v>560</v>
      </c>
      <c r="G27" s="732">
        <v>3998</v>
      </c>
      <c r="H27" s="733">
        <v>1264</v>
      </c>
      <c r="I27" s="732">
        <v>89274572</v>
      </c>
      <c r="J27" s="733">
        <v>1202</v>
      </c>
      <c r="K27" s="734">
        <v>56781200</v>
      </c>
    </row>
    <row r="28" spans="1:15" ht="15" customHeight="1" x14ac:dyDescent="0.25">
      <c r="A28" s="2017" t="s">
        <v>982</v>
      </c>
      <c r="B28" s="2018"/>
      <c r="C28" s="747"/>
      <c r="D28" s="747" t="s">
        <v>974</v>
      </c>
      <c r="E28" s="748">
        <v>1135</v>
      </c>
      <c r="F28" s="749">
        <v>489</v>
      </c>
      <c r="G28" s="748">
        <v>684</v>
      </c>
      <c r="H28" s="749">
        <v>1133</v>
      </c>
      <c r="I28" s="748">
        <v>88510233</v>
      </c>
      <c r="J28" s="749">
        <v>1075</v>
      </c>
      <c r="K28" s="750">
        <v>56108012</v>
      </c>
    </row>
    <row r="29" spans="1:15" ht="15" customHeight="1" x14ac:dyDescent="0.25">
      <c r="A29" s="2019" t="s">
        <v>983</v>
      </c>
      <c r="B29" s="2020"/>
      <c r="C29" s="755" t="s">
        <v>984</v>
      </c>
      <c r="D29" s="743" t="s">
        <v>977</v>
      </c>
      <c r="E29" s="752">
        <v>14</v>
      </c>
      <c r="F29" s="733">
        <v>5</v>
      </c>
      <c r="G29" s="732">
        <v>7629</v>
      </c>
      <c r="H29" s="733">
        <v>14</v>
      </c>
      <c r="I29" s="732">
        <v>55267</v>
      </c>
      <c r="J29" s="733">
        <v>13</v>
      </c>
      <c r="K29" s="734">
        <v>41974</v>
      </c>
    </row>
    <row r="30" spans="1:15" ht="15" customHeight="1" x14ac:dyDescent="0.25">
      <c r="A30" s="2019" t="s">
        <v>985</v>
      </c>
      <c r="B30" s="2020"/>
      <c r="C30" s="755" t="s">
        <v>963</v>
      </c>
      <c r="D30" s="743" t="s">
        <v>979</v>
      </c>
      <c r="E30" s="752">
        <v>3</v>
      </c>
      <c r="F30" s="733">
        <v>0</v>
      </c>
      <c r="G30" s="732">
        <v>0</v>
      </c>
      <c r="H30" s="733">
        <v>3</v>
      </c>
      <c r="I30" s="732">
        <v>30138</v>
      </c>
      <c r="J30" s="733">
        <v>0</v>
      </c>
      <c r="K30" s="734">
        <v>0</v>
      </c>
    </row>
    <row r="31" spans="1:15" ht="15" customHeight="1" x14ac:dyDescent="0.25">
      <c r="A31" s="2019" t="s">
        <v>986</v>
      </c>
      <c r="B31" s="2020"/>
      <c r="C31" s="754"/>
      <c r="D31" s="754" t="s">
        <v>987</v>
      </c>
      <c r="E31" s="729">
        <v>114</v>
      </c>
      <c r="F31" s="730">
        <v>65</v>
      </c>
      <c r="G31" s="729">
        <v>5685</v>
      </c>
      <c r="H31" s="730">
        <v>114</v>
      </c>
      <c r="I31" s="729">
        <v>678934</v>
      </c>
      <c r="J31" s="730">
        <v>114</v>
      </c>
      <c r="K31" s="731">
        <v>631214</v>
      </c>
    </row>
    <row r="32" spans="1:15" ht="15" customHeight="1" x14ac:dyDescent="0.25">
      <c r="A32" s="2019" t="s">
        <v>988</v>
      </c>
      <c r="B32" s="2020"/>
      <c r="C32" s="2023" t="s">
        <v>989</v>
      </c>
      <c r="D32" s="2024"/>
      <c r="E32" s="732">
        <v>1647</v>
      </c>
      <c r="F32" s="733"/>
      <c r="G32" s="732"/>
      <c r="H32" s="733">
        <v>1647</v>
      </c>
      <c r="I32" s="732">
        <v>4184968</v>
      </c>
      <c r="J32" s="733">
        <v>6</v>
      </c>
      <c r="K32" s="734">
        <v>502265</v>
      </c>
    </row>
    <row r="33" spans="1:13" ht="15" customHeight="1" x14ac:dyDescent="0.25">
      <c r="A33" s="2017" t="s">
        <v>990</v>
      </c>
      <c r="B33" s="2018"/>
      <c r="C33" s="747"/>
      <c r="D33" s="747" t="s">
        <v>974</v>
      </c>
      <c r="E33" s="748">
        <v>150</v>
      </c>
      <c r="F33" s="749"/>
      <c r="G33" s="748"/>
      <c r="H33" s="749">
        <v>150</v>
      </c>
      <c r="I33" s="748">
        <v>1462594</v>
      </c>
      <c r="J33" s="749">
        <v>2</v>
      </c>
      <c r="K33" s="750">
        <v>493843</v>
      </c>
    </row>
    <row r="34" spans="1:13" ht="15" customHeight="1" x14ac:dyDescent="0.25">
      <c r="A34" s="2019" t="s">
        <v>991</v>
      </c>
      <c r="B34" s="2020"/>
      <c r="C34" s="755" t="s">
        <v>992</v>
      </c>
      <c r="D34" s="743" t="s">
        <v>977</v>
      </c>
      <c r="E34" s="752">
        <v>0</v>
      </c>
      <c r="F34" s="733"/>
      <c r="G34" s="732"/>
      <c r="H34" s="733">
        <v>0</v>
      </c>
      <c r="I34" s="732">
        <v>0</v>
      </c>
      <c r="J34" s="733">
        <v>0</v>
      </c>
      <c r="K34" s="734">
        <v>0</v>
      </c>
    </row>
    <row r="35" spans="1:13" ht="15" customHeight="1" x14ac:dyDescent="0.25">
      <c r="A35" s="2025" t="s">
        <v>993</v>
      </c>
      <c r="B35" s="2026"/>
      <c r="C35" s="754" t="s">
        <v>963</v>
      </c>
      <c r="D35" s="754" t="s">
        <v>979</v>
      </c>
      <c r="E35" s="729">
        <v>1497</v>
      </c>
      <c r="F35" s="730"/>
      <c r="G35" s="729"/>
      <c r="H35" s="730">
        <v>1497</v>
      </c>
      <c r="I35" s="729">
        <v>2722374</v>
      </c>
      <c r="J35" s="730">
        <v>4</v>
      </c>
      <c r="K35" s="731">
        <v>8422</v>
      </c>
    </row>
    <row r="36" spans="1:13" ht="15" customHeight="1" x14ac:dyDescent="0.25">
      <c r="A36" s="2017" t="s">
        <v>994</v>
      </c>
      <c r="B36" s="2018"/>
      <c r="C36" s="756"/>
      <c r="D36" s="755" t="s">
        <v>995</v>
      </c>
      <c r="E36" s="748">
        <v>135</v>
      </c>
      <c r="F36" s="749">
        <v>427</v>
      </c>
      <c r="G36" s="748">
        <v>6253</v>
      </c>
      <c r="H36" s="749">
        <v>135</v>
      </c>
      <c r="I36" s="748">
        <v>437389</v>
      </c>
      <c r="J36" s="749">
        <v>135</v>
      </c>
      <c r="K36" s="750">
        <v>437389</v>
      </c>
    </row>
    <row r="37" spans="1:13" ht="15" customHeight="1" x14ac:dyDescent="0.25">
      <c r="A37" s="2019" t="s">
        <v>996</v>
      </c>
      <c r="B37" s="2020"/>
      <c r="C37" s="755" t="s">
        <v>997</v>
      </c>
      <c r="D37" s="743" t="s">
        <v>998</v>
      </c>
      <c r="E37" s="752">
        <v>8</v>
      </c>
      <c r="F37" s="733">
        <v>9</v>
      </c>
      <c r="G37" s="732">
        <v>8414</v>
      </c>
      <c r="H37" s="733">
        <v>8</v>
      </c>
      <c r="I37" s="732">
        <v>1234855</v>
      </c>
      <c r="J37" s="733">
        <v>6</v>
      </c>
      <c r="K37" s="734">
        <v>1079418</v>
      </c>
    </row>
    <row r="38" spans="1:13" ht="15" customHeight="1" thickBot="1" x14ac:dyDescent="0.3">
      <c r="A38" s="2021">
        <v>28</v>
      </c>
      <c r="B38" s="2022"/>
      <c r="C38" s="757" t="s">
        <v>963</v>
      </c>
      <c r="D38" s="758" t="s">
        <v>999</v>
      </c>
      <c r="E38" s="759">
        <v>270</v>
      </c>
      <c r="F38" s="760">
        <v>58</v>
      </c>
      <c r="G38" s="759">
        <v>5274</v>
      </c>
      <c r="H38" s="760">
        <v>270</v>
      </c>
      <c r="I38" s="759">
        <v>9174320</v>
      </c>
      <c r="J38" s="760">
        <v>35</v>
      </c>
      <c r="K38" s="761">
        <v>7974021</v>
      </c>
      <c r="M38" s="745"/>
    </row>
    <row r="40" spans="1:13" x14ac:dyDescent="0.2">
      <c r="E40" s="745"/>
    </row>
    <row r="41" spans="1:13" x14ac:dyDescent="0.2">
      <c r="E41" s="745"/>
      <c r="F41" s="745"/>
      <c r="G41" s="745"/>
      <c r="H41" s="745"/>
      <c r="I41" s="745"/>
      <c r="J41" s="745"/>
      <c r="K41" s="745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Header>&amp;R&amp;"Calibri,Félkövér"&amp;11  &amp;12 &amp;10 27. melléklet a .../2025. (…….)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88ED-F5A8-43CB-8546-00BB63162380}">
  <sheetPr>
    <tabColor theme="0"/>
  </sheetPr>
  <dimension ref="B2:L90"/>
  <sheetViews>
    <sheetView topLeftCell="A6" zoomScaleNormal="100" workbookViewId="0">
      <selection activeCell="I30" sqref="I30"/>
    </sheetView>
  </sheetViews>
  <sheetFormatPr defaultColWidth="10.6640625" defaultRowHeight="15" x14ac:dyDescent="0.2"/>
  <cols>
    <col min="1" max="1" width="10.6640625" style="763"/>
    <col min="2" max="2" width="11.5" style="762" customWidth="1"/>
    <col min="3" max="3" width="8.83203125" style="763" customWidth="1"/>
    <col min="4" max="4" width="118" style="763" customWidth="1"/>
    <col min="5" max="5" width="26" style="763" customWidth="1"/>
    <col min="6" max="6" width="23.5" style="763" customWidth="1"/>
    <col min="7" max="7" width="24.1640625" style="763" customWidth="1"/>
    <col min="8" max="8" width="18.83203125" style="763" customWidth="1"/>
    <col min="9" max="9" width="10.6640625" style="763"/>
    <col min="10" max="10" width="19.1640625" style="763" bestFit="1" customWidth="1"/>
    <col min="11" max="11" width="28" style="763" customWidth="1"/>
    <col min="12" max="16384" width="10.6640625" style="763"/>
  </cols>
  <sheetData>
    <row r="2" spans="2:12" ht="18" x14ac:dyDescent="0.25">
      <c r="E2" s="673"/>
      <c r="F2" s="765"/>
    </row>
    <row r="5" spans="2:12" ht="21.75" customHeight="1" x14ac:dyDescent="0.3">
      <c r="B5" s="2069" t="s">
        <v>1305</v>
      </c>
      <c r="C5" s="2069"/>
      <c r="D5" s="2069"/>
      <c r="E5" s="2069"/>
      <c r="F5" s="2069"/>
      <c r="G5" s="2069"/>
    </row>
    <row r="6" spans="2:12" ht="16.5" thickBot="1" x14ac:dyDescent="0.3">
      <c r="B6" s="766"/>
      <c r="C6" s="767"/>
      <c r="D6" s="767"/>
      <c r="E6" s="767"/>
      <c r="F6" s="767"/>
      <c r="G6" s="524" t="s">
        <v>14</v>
      </c>
    </row>
    <row r="7" spans="2:12" s="764" customFormat="1" ht="19.5" customHeight="1" thickBot="1" x14ac:dyDescent="0.3">
      <c r="B7" s="1648" t="s">
        <v>689</v>
      </c>
      <c r="C7" s="1649"/>
      <c r="D7" s="1649"/>
      <c r="E7" s="2070"/>
      <c r="F7" s="2070"/>
      <c r="G7" s="2071"/>
    </row>
    <row r="8" spans="2:12" ht="20.100000000000001" customHeight="1" thickBot="1" x14ac:dyDescent="0.3">
      <c r="B8" s="1651"/>
      <c r="C8" s="1649"/>
      <c r="D8" s="1649"/>
      <c r="E8" s="1652" t="s">
        <v>1000</v>
      </c>
      <c r="F8" s="1650" t="s">
        <v>1001</v>
      </c>
      <c r="G8" s="1653" t="s">
        <v>1002</v>
      </c>
    </row>
    <row r="9" spans="2:12" s="768" customFormat="1" ht="20.100000000000001" customHeight="1" thickBot="1" x14ac:dyDescent="0.35">
      <c r="B9" s="1554" t="s">
        <v>1003</v>
      </c>
      <c r="C9" s="1555" t="s">
        <v>1004</v>
      </c>
      <c r="D9" s="1555"/>
      <c r="E9" s="1556">
        <f>+E10+E18+E49+E53</f>
        <v>132018969</v>
      </c>
      <c r="F9" s="1556">
        <f>+F10+F18+F49+F53</f>
        <v>32833268</v>
      </c>
      <c r="G9" s="1557">
        <f>+G10+G18+G49+G53</f>
        <v>99185701</v>
      </c>
    </row>
    <row r="10" spans="2:12" s="769" customFormat="1" ht="20.100000000000001" customHeight="1" thickBot="1" x14ac:dyDescent="0.35">
      <c r="B10" s="1558" t="s">
        <v>701</v>
      </c>
      <c r="C10" s="1559" t="s">
        <v>1005</v>
      </c>
      <c r="D10" s="1559"/>
      <c r="E10" s="1560">
        <f>+E11+E15</f>
        <v>345195</v>
      </c>
      <c r="F10" s="1560">
        <f>+F11+F15</f>
        <v>284798</v>
      </c>
      <c r="G10" s="1561">
        <f>+G15+G11</f>
        <v>60397</v>
      </c>
      <c r="J10" s="768"/>
      <c r="K10" s="768"/>
    </row>
    <row r="11" spans="2:12" s="770" customFormat="1" ht="20.100000000000001" customHeight="1" x14ac:dyDescent="0.3">
      <c r="B11" s="1562" t="s">
        <v>1006</v>
      </c>
      <c r="C11" s="1563" t="s">
        <v>693</v>
      </c>
      <c r="D11" s="1563"/>
      <c r="E11" s="1564">
        <f>SUM(E12:E14)</f>
        <v>202789</v>
      </c>
      <c r="F11" s="1564">
        <f>SUM(F12:F14)</f>
        <v>152624</v>
      </c>
      <c r="G11" s="1565">
        <f>SUM(G12:G14)</f>
        <v>50165</v>
      </c>
      <c r="H11" s="769"/>
      <c r="I11" s="769"/>
      <c r="J11" s="768"/>
      <c r="K11" s="768"/>
      <c r="L11" s="769"/>
    </row>
    <row r="12" spans="2:12" ht="20.100000000000001" customHeight="1" x14ac:dyDescent="0.3">
      <c r="B12" s="1566"/>
      <c r="C12" s="1567" t="s">
        <v>1007</v>
      </c>
      <c r="D12" s="1567"/>
      <c r="E12" s="1568">
        <v>36247</v>
      </c>
      <c r="F12" s="1569">
        <v>18672</v>
      </c>
      <c r="G12" s="1570">
        <f>+E12-F12</f>
        <v>17575</v>
      </c>
      <c r="H12" s="769"/>
      <c r="I12" s="769"/>
      <c r="J12" s="768"/>
      <c r="K12" s="768"/>
      <c r="L12" s="769"/>
    </row>
    <row r="13" spans="2:12" ht="20.100000000000001" customHeight="1" x14ac:dyDescent="0.3">
      <c r="B13" s="1566"/>
      <c r="C13" s="1567" t="s">
        <v>1008</v>
      </c>
      <c r="D13" s="1567"/>
      <c r="E13" s="1568">
        <v>166542</v>
      </c>
      <c r="F13" s="1569">
        <v>133952</v>
      </c>
      <c r="G13" s="1570">
        <f t="shared" ref="G13:G14" si="0">+E13-F13</f>
        <v>32590</v>
      </c>
      <c r="H13" s="769"/>
      <c r="I13" s="769"/>
      <c r="J13" s="768"/>
      <c r="K13" s="768"/>
      <c r="L13" s="769"/>
    </row>
    <row r="14" spans="2:12" ht="20.100000000000001" customHeight="1" x14ac:dyDescent="0.3">
      <c r="B14" s="1571"/>
      <c r="C14" s="1572" t="s">
        <v>1009</v>
      </c>
      <c r="D14" s="1572"/>
      <c r="E14" s="1573">
        <v>0</v>
      </c>
      <c r="F14" s="1574">
        <v>0</v>
      </c>
      <c r="G14" s="1570">
        <f t="shared" si="0"/>
        <v>0</v>
      </c>
      <c r="H14" s="769"/>
      <c r="I14" s="769"/>
      <c r="J14" s="768"/>
      <c r="K14" s="768"/>
      <c r="L14" s="769"/>
    </row>
    <row r="15" spans="2:12" s="770" customFormat="1" ht="20.100000000000001" customHeight="1" x14ac:dyDescent="0.3">
      <c r="B15" s="1575" t="s">
        <v>699</v>
      </c>
      <c r="C15" s="1576" t="s">
        <v>698</v>
      </c>
      <c r="D15" s="1576"/>
      <c r="E15" s="1577">
        <f>SUM(E16:E17)</f>
        <v>142406</v>
      </c>
      <c r="F15" s="1577">
        <f t="shared" ref="F15:G15" si="1">SUM(F16:F17)</f>
        <v>132174</v>
      </c>
      <c r="G15" s="1578">
        <f t="shared" si="1"/>
        <v>10232</v>
      </c>
      <c r="H15" s="769"/>
      <c r="I15" s="769"/>
      <c r="J15" s="768"/>
      <c r="K15" s="768"/>
      <c r="L15" s="769"/>
    </row>
    <row r="16" spans="2:12" ht="20.100000000000001" customHeight="1" x14ac:dyDescent="0.3">
      <c r="B16" s="1566"/>
      <c r="C16" s="1567" t="s">
        <v>1007</v>
      </c>
      <c r="D16" s="1567"/>
      <c r="E16" s="1568">
        <v>8595</v>
      </c>
      <c r="F16" s="1569">
        <v>5730</v>
      </c>
      <c r="G16" s="1579">
        <f>+E16-F16</f>
        <v>2865</v>
      </c>
      <c r="H16" s="769"/>
      <c r="I16" s="769"/>
      <c r="J16" s="768"/>
      <c r="K16" s="768"/>
      <c r="L16" s="769"/>
    </row>
    <row r="17" spans="2:12" ht="20.100000000000001" customHeight="1" thickBot="1" x14ac:dyDescent="0.35">
      <c r="B17" s="1571"/>
      <c r="C17" s="1572" t="s">
        <v>1008</v>
      </c>
      <c r="D17" s="1572"/>
      <c r="E17" s="1573">
        <v>133811</v>
      </c>
      <c r="F17" s="1574">
        <v>126444</v>
      </c>
      <c r="G17" s="1579">
        <f>+E17-F17</f>
        <v>7367</v>
      </c>
      <c r="H17" s="769"/>
      <c r="I17" s="769"/>
      <c r="J17" s="768"/>
      <c r="K17" s="768"/>
      <c r="L17" s="769"/>
    </row>
    <row r="18" spans="2:12" s="769" customFormat="1" ht="20.100000000000001" customHeight="1" thickBot="1" x14ac:dyDescent="0.35">
      <c r="B18" s="1558" t="s">
        <v>713</v>
      </c>
      <c r="C18" s="1559" t="s">
        <v>1010</v>
      </c>
      <c r="D18" s="1559"/>
      <c r="E18" s="1580">
        <f>+E19+E40+E44+E45</f>
        <v>125158985</v>
      </c>
      <c r="F18" s="1580">
        <f>+F19+F40+F44+F45</f>
        <v>32548470</v>
      </c>
      <c r="G18" s="1581">
        <f>E18-F18</f>
        <v>92610515</v>
      </c>
      <c r="J18" s="768"/>
      <c r="K18" s="768"/>
    </row>
    <row r="19" spans="2:12" s="771" customFormat="1" ht="20.100000000000001" customHeight="1" x14ac:dyDescent="0.3">
      <c r="B19" s="1562" t="s">
        <v>704</v>
      </c>
      <c r="C19" s="1563" t="s">
        <v>703</v>
      </c>
      <c r="D19" s="1563"/>
      <c r="E19" s="1582">
        <f>+E20+E27+E36</f>
        <v>116887627</v>
      </c>
      <c r="F19" s="1582">
        <f>+F20+F27+F36</f>
        <v>28066159</v>
      </c>
      <c r="G19" s="1583">
        <f>+G20+G27+G36</f>
        <v>88821468</v>
      </c>
      <c r="H19" s="769"/>
      <c r="I19" s="769"/>
      <c r="J19" s="768"/>
      <c r="K19" s="768"/>
      <c r="L19" s="769"/>
    </row>
    <row r="20" spans="2:12" s="772" customFormat="1" ht="20.100000000000001" customHeight="1" x14ac:dyDescent="0.3">
      <c r="B20" s="1575"/>
      <c r="C20" s="1584" t="s">
        <v>1011</v>
      </c>
      <c r="D20" s="1576"/>
      <c r="E20" s="1585">
        <f>SUM(E21:E26)</f>
        <v>59889371</v>
      </c>
      <c r="F20" s="1585">
        <f>SUM(F21:F26)</f>
        <v>18140577</v>
      </c>
      <c r="G20" s="1586">
        <f>SUM(G21:G26)</f>
        <v>41748794</v>
      </c>
      <c r="H20" s="769"/>
      <c r="J20" s="768"/>
      <c r="K20" s="768"/>
    </row>
    <row r="21" spans="2:12" ht="20.100000000000001" customHeight="1" x14ac:dyDescent="0.3">
      <c r="B21" s="1571"/>
      <c r="C21" s="1587" t="s">
        <v>1012</v>
      </c>
      <c r="D21" s="1572" t="s">
        <v>1013</v>
      </c>
      <c r="E21" s="1573">
        <v>38837750</v>
      </c>
      <c r="F21" s="1574">
        <v>13676303</v>
      </c>
      <c r="G21" s="1588">
        <f>+E21-F21</f>
        <v>25161447</v>
      </c>
      <c r="H21" s="769"/>
      <c r="J21" s="768"/>
      <c r="K21" s="768"/>
    </row>
    <row r="22" spans="2:12" ht="20.100000000000001" customHeight="1" x14ac:dyDescent="0.3">
      <c r="B22" s="1566"/>
      <c r="C22" s="1589" t="s">
        <v>1012</v>
      </c>
      <c r="D22" s="1567" t="s">
        <v>1014</v>
      </c>
      <c r="E22" s="1568">
        <v>11395776</v>
      </c>
      <c r="F22" s="1569">
        <v>3503862</v>
      </c>
      <c r="G22" s="1570">
        <f t="shared" ref="G22:G26" si="2">+E22-F22</f>
        <v>7891914</v>
      </c>
      <c r="H22" s="769"/>
      <c r="J22" s="768"/>
      <c r="K22" s="768"/>
    </row>
    <row r="23" spans="2:12" ht="20.100000000000001" customHeight="1" x14ac:dyDescent="0.3">
      <c r="B23" s="1566"/>
      <c r="C23" s="1589" t="s">
        <v>1012</v>
      </c>
      <c r="D23" s="1567" t="s">
        <v>1015</v>
      </c>
      <c r="E23" s="1568">
        <v>687649</v>
      </c>
      <c r="F23" s="1569">
        <f>198+1</f>
        <v>199</v>
      </c>
      <c r="G23" s="1570">
        <f t="shared" si="2"/>
        <v>687450</v>
      </c>
      <c r="H23" s="769"/>
      <c r="J23" s="768"/>
      <c r="K23" s="768"/>
    </row>
    <row r="24" spans="2:12" ht="20.100000000000001" customHeight="1" x14ac:dyDescent="0.3">
      <c r="B24" s="1566"/>
      <c r="C24" s="1589" t="s">
        <v>1012</v>
      </c>
      <c r="D24" s="1567" t="s">
        <v>1016</v>
      </c>
      <c r="E24" s="1568">
        <v>3437434</v>
      </c>
      <c r="F24" s="1569">
        <v>410501</v>
      </c>
      <c r="G24" s="1570">
        <f t="shared" si="2"/>
        <v>3026933</v>
      </c>
      <c r="H24" s="769"/>
      <c r="J24" s="768"/>
      <c r="K24" s="768"/>
    </row>
    <row r="25" spans="2:12" ht="20.100000000000001" customHeight="1" x14ac:dyDescent="0.3">
      <c r="B25" s="1566"/>
      <c r="C25" s="1589" t="s">
        <v>1012</v>
      </c>
      <c r="D25" s="1567" t="s">
        <v>1017</v>
      </c>
      <c r="E25" s="1568">
        <f>64885+39583+792774</f>
        <v>897242</v>
      </c>
      <c r="F25" s="1569">
        <f>7927+72915</f>
        <v>80842</v>
      </c>
      <c r="G25" s="1570">
        <f t="shared" si="2"/>
        <v>816400</v>
      </c>
      <c r="H25" s="769"/>
      <c r="J25" s="768"/>
      <c r="K25" s="768"/>
    </row>
    <row r="26" spans="2:12" ht="38.25" customHeight="1" x14ac:dyDescent="0.3">
      <c r="B26" s="1571"/>
      <c r="C26" s="1590" t="s">
        <v>1012</v>
      </c>
      <c r="D26" s="1591" t="s">
        <v>1018</v>
      </c>
      <c r="E26" s="1573">
        <v>4633520</v>
      </c>
      <c r="F26" s="1574">
        <f>468868+2</f>
        <v>468870</v>
      </c>
      <c r="G26" s="1592">
        <f t="shared" si="2"/>
        <v>4164650</v>
      </c>
      <c r="H26" s="769"/>
      <c r="J26" s="768"/>
      <c r="K26" s="768"/>
    </row>
    <row r="27" spans="2:12" s="772" customFormat="1" ht="20.100000000000001" customHeight="1" x14ac:dyDescent="0.3">
      <c r="B27" s="1575"/>
      <c r="C27" s="1584" t="s">
        <v>1019</v>
      </c>
      <c r="D27" s="1593"/>
      <c r="E27" s="1585">
        <f>SUM(E28:E35)</f>
        <v>55819093</v>
      </c>
      <c r="F27" s="1585">
        <f>SUM(F28:F35)</f>
        <v>9551769</v>
      </c>
      <c r="G27" s="1586">
        <f>SUM(G28:G35)</f>
        <v>46267324</v>
      </c>
      <c r="H27" s="769"/>
      <c r="J27" s="768"/>
      <c r="K27" s="768"/>
    </row>
    <row r="28" spans="2:12" ht="20.100000000000001" customHeight="1" x14ac:dyDescent="0.3">
      <c r="B28" s="1571"/>
      <c r="C28" s="1587" t="s">
        <v>1012</v>
      </c>
      <c r="D28" s="1574" t="s">
        <v>1020</v>
      </c>
      <c r="E28" s="1573">
        <v>4752372</v>
      </c>
      <c r="F28" s="1574">
        <v>1943263</v>
      </c>
      <c r="G28" s="1579">
        <f>E28-F28</f>
        <v>2809109</v>
      </c>
      <c r="H28" s="769"/>
      <c r="J28" s="768"/>
      <c r="K28" s="768"/>
    </row>
    <row r="29" spans="2:12" ht="20.100000000000001" customHeight="1" x14ac:dyDescent="0.3">
      <c r="B29" s="1566"/>
      <c r="C29" s="1589" t="s">
        <v>1012</v>
      </c>
      <c r="D29" s="1569" t="s">
        <v>1021</v>
      </c>
      <c r="E29" s="1568">
        <v>335297</v>
      </c>
      <c r="F29" s="1569">
        <v>64735</v>
      </c>
      <c r="G29" s="1570">
        <f t="shared" ref="G29:G35" si="3">E29-F29</f>
        <v>270562</v>
      </c>
      <c r="H29" s="769"/>
      <c r="J29" s="768"/>
      <c r="K29" s="768"/>
    </row>
    <row r="30" spans="2:12" ht="20.100000000000001" customHeight="1" x14ac:dyDescent="0.3">
      <c r="B30" s="1566"/>
      <c r="C30" s="1589" t="s">
        <v>1012</v>
      </c>
      <c r="D30" s="1569" t="s">
        <v>1022</v>
      </c>
      <c r="E30" s="1568">
        <v>618754</v>
      </c>
      <c r="F30" s="1569">
        <v>173615</v>
      </c>
      <c r="G30" s="1570">
        <f t="shared" si="3"/>
        <v>445139</v>
      </c>
      <c r="H30" s="769"/>
      <c r="J30" s="768"/>
      <c r="K30" s="768"/>
    </row>
    <row r="31" spans="2:12" ht="20.100000000000001" customHeight="1" x14ac:dyDescent="0.3">
      <c r="B31" s="1566"/>
      <c r="C31" s="1589" t="s">
        <v>1012</v>
      </c>
      <c r="D31" s="1569" t="s">
        <v>1016</v>
      </c>
      <c r="E31" s="1568">
        <v>10178433</v>
      </c>
      <c r="F31" s="1569">
        <v>2001536</v>
      </c>
      <c r="G31" s="1570">
        <f t="shared" si="3"/>
        <v>8176897</v>
      </c>
      <c r="H31" s="769"/>
      <c r="J31" s="768"/>
      <c r="K31" s="768"/>
    </row>
    <row r="32" spans="2:12" ht="20.100000000000001" customHeight="1" x14ac:dyDescent="0.3">
      <c r="B32" s="1566"/>
      <c r="C32" s="1589" t="s">
        <v>1012</v>
      </c>
      <c r="D32" s="1569" t="s">
        <v>1023</v>
      </c>
      <c r="E32" s="1568">
        <v>51817</v>
      </c>
      <c r="F32" s="1569">
        <v>5067</v>
      </c>
      <c r="G32" s="1570">
        <f t="shared" si="3"/>
        <v>46750</v>
      </c>
      <c r="H32" s="769"/>
      <c r="J32" s="768"/>
      <c r="K32" s="768"/>
    </row>
    <row r="33" spans="2:11" ht="20.100000000000001" customHeight="1" x14ac:dyDescent="0.3">
      <c r="B33" s="1566"/>
      <c r="C33" s="1589" t="s">
        <v>1012</v>
      </c>
      <c r="D33" s="1594" t="s">
        <v>1024</v>
      </c>
      <c r="E33" s="1568">
        <v>201300</v>
      </c>
      <c r="F33" s="1569">
        <v>24575</v>
      </c>
      <c r="G33" s="1570">
        <f t="shared" si="3"/>
        <v>176725</v>
      </c>
      <c r="H33" s="769"/>
      <c r="J33" s="768"/>
      <c r="K33" s="768"/>
    </row>
    <row r="34" spans="2:11" ht="20.100000000000001" customHeight="1" x14ac:dyDescent="0.3">
      <c r="B34" s="1566"/>
      <c r="C34" s="1589" t="s">
        <v>1012</v>
      </c>
      <c r="D34" s="1569" t="s">
        <v>1017</v>
      </c>
      <c r="E34" s="1568">
        <f>287278+21191+514943+1616319+7670067+42959+9502622+12482793+1750981+600669+83224</f>
        <v>34573046</v>
      </c>
      <c r="F34" s="1569">
        <f>62219+4655+189230+431103+2003912+8188+693607+817872+238415+82916+4775</f>
        <v>4536892</v>
      </c>
      <c r="G34" s="1570">
        <f t="shared" si="3"/>
        <v>30036154</v>
      </c>
      <c r="H34" s="769"/>
      <c r="J34" s="768"/>
      <c r="K34" s="768"/>
    </row>
    <row r="35" spans="2:11" ht="39" customHeight="1" x14ac:dyDescent="0.3">
      <c r="B35" s="1571"/>
      <c r="C35" s="1590" t="s">
        <v>1012</v>
      </c>
      <c r="D35" s="1595" t="s">
        <v>1025</v>
      </c>
      <c r="E35" s="1573">
        <v>5108074</v>
      </c>
      <c r="F35" s="1574">
        <v>802086</v>
      </c>
      <c r="G35" s="1570">
        <f t="shared" si="3"/>
        <v>4305988</v>
      </c>
      <c r="H35" s="769"/>
      <c r="J35" s="768"/>
      <c r="K35" s="768"/>
    </row>
    <row r="36" spans="2:11" s="772" customFormat="1" ht="20.100000000000001" customHeight="1" x14ac:dyDescent="0.3">
      <c r="B36" s="1575"/>
      <c r="C36" s="1584" t="s">
        <v>1009</v>
      </c>
      <c r="D36" s="1593"/>
      <c r="E36" s="1585">
        <f>SUM(E37:E39)</f>
        <v>1179163</v>
      </c>
      <c r="F36" s="1585">
        <f>SUM(F37:F39)</f>
        <v>373813</v>
      </c>
      <c r="G36" s="1586">
        <f>SUM(G37:G39)</f>
        <v>805350</v>
      </c>
      <c r="H36" s="769"/>
      <c r="J36" s="768"/>
      <c r="K36" s="768"/>
    </row>
    <row r="37" spans="2:11" ht="20.100000000000001" customHeight="1" x14ac:dyDescent="0.3">
      <c r="B37" s="1571"/>
      <c r="C37" s="1587" t="s">
        <v>1012</v>
      </c>
      <c r="D37" s="1574" t="s">
        <v>1026</v>
      </c>
      <c r="E37" s="1573">
        <v>188773</v>
      </c>
      <c r="F37" s="1574">
        <v>17708</v>
      </c>
      <c r="G37" s="1579">
        <f>E37-F37</f>
        <v>171065</v>
      </c>
      <c r="H37" s="769"/>
      <c r="J37" s="768"/>
      <c r="K37" s="768"/>
    </row>
    <row r="38" spans="2:11" ht="20.100000000000001" customHeight="1" x14ac:dyDescent="0.3">
      <c r="B38" s="1566"/>
      <c r="C38" s="1589" t="s">
        <v>1012</v>
      </c>
      <c r="D38" s="1569" t="s">
        <v>1017</v>
      </c>
      <c r="E38" s="1568">
        <f>973665+13659</f>
        <v>987324</v>
      </c>
      <c r="F38" s="1569">
        <f>353324+1237</f>
        <v>354561</v>
      </c>
      <c r="G38" s="1570">
        <f>E38-F38</f>
        <v>632763</v>
      </c>
      <c r="H38" s="769"/>
      <c r="J38" s="768"/>
      <c r="K38" s="768"/>
    </row>
    <row r="39" spans="2:11" ht="40.5" customHeight="1" x14ac:dyDescent="0.3">
      <c r="B39" s="1571"/>
      <c r="C39" s="1590" t="s">
        <v>1012</v>
      </c>
      <c r="D39" s="1595" t="s">
        <v>1027</v>
      </c>
      <c r="E39" s="1573">
        <v>3066</v>
      </c>
      <c r="F39" s="1574">
        <v>1544</v>
      </c>
      <c r="G39" s="1579">
        <v>1522</v>
      </c>
      <c r="H39" s="769"/>
      <c r="J39" s="768"/>
      <c r="K39" s="768"/>
    </row>
    <row r="40" spans="2:11" s="771" customFormat="1" ht="20.100000000000001" customHeight="1" x14ac:dyDescent="0.3">
      <c r="B40" s="1575" t="s">
        <v>1028</v>
      </c>
      <c r="C40" s="1576" t="s">
        <v>1029</v>
      </c>
      <c r="D40" s="1576"/>
      <c r="E40" s="1577">
        <f>SUM(E41:E43)</f>
        <v>7812775</v>
      </c>
      <c r="F40" s="1577">
        <f>SUM(F41:F43)</f>
        <v>4481903</v>
      </c>
      <c r="G40" s="1578">
        <f>SUM(G41:G43)</f>
        <v>3330872</v>
      </c>
      <c r="H40" s="769"/>
      <c r="J40" s="768"/>
      <c r="K40" s="768"/>
    </row>
    <row r="41" spans="2:11" ht="20.100000000000001" customHeight="1" x14ac:dyDescent="0.3">
      <c r="B41" s="1571"/>
      <c r="C41" s="1572" t="s">
        <v>1030</v>
      </c>
      <c r="D41" s="1572"/>
      <c r="E41" s="1573">
        <v>1003798</v>
      </c>
      <c r="F41" s="1574">
        <v>4101</v>
      </c>
      <c r="G41" s="1579">
        <f>E41-F41</f>
        <v>999697</v>
      </c>
      <c r="H41" s="769"/>
      <c r="J41" s="768"/>
      <c r="K41" s="768"/>
    </row>
    <row r="42" spans="2:11" ht="20.100000000000001" customHeight="1" x14ac:dyDescent="0.3">
      <c r="B42" s="1566"/>
      <c r="C42" s="1567" t="s">
        <v>1031</v>
      </c>
      <c r="D42" s="1567"/>
      <c r="E42" s="1568">
        <v>6790631</v>
      </c>
      <c r="F42" s="1569">
        <f>4459454+2</f>
        <v>4459456</v>
      </c>
      <c r="G42" s="1570">
        <f>E42-F42</f>
        <v>2331175</v>
      </c>
      <c r="H42" s="769"/>
      <c r="J42" s="768"/>
      <c r="K42" s="768"/>
    </row>
    <row r="43" spans="2:11" ht="20.100000000000001" customHeight="1" x14ac:dyDescent="0.3">
      <c r="B43" s="1596"/>
      <c r="C43" s="1597" t="s">
        <v>1032</v>
      </c>
      <c r="D43" s="1597"/>
      <c r="E43" s="1598">
        <v>18346</v>
      </c>
      <c r="F43" s="1599">
        <v>18346</v>
      </c>
      <c r="G43" s="1570">
        <f>E43-F43</f>
        <v>0</v>
      </c>
      <c r="H43" s="769"/>
      <c r="J43" s="768"/>
      <c r="K43" s="768"/>
    </row>
    <row r="44" spans="2:11" s="771" customFormat="1" ht="20.100000000000001" customHeight="1" x14ac:dyDescent="0.3">
      <c r="B44" s="1600" t="s">
        <v>709</v>
      </c>
      <c r="C44" s="1601" t="s">
        <v>1033</v>
      </c>
      <c r="D44" s="1601"/>
      <c r="E44" s="1602">
        <v>408</v>
      </c>
      <c r="F44" s="1602">
        <v>408</v>
      </c>
      <c r="G44" s="1603">
        <f>E44-F44</f>
        <v>0</v>
      </c>
      <c r="H44" s="769"/>
      <c r="J44" s="768"/>
      <c r="K44" s="768"/>
    </row>
    <row r="45" spans="2:11" s="771" customFormat="1" ht="20.100000000000001" customHeight="1" x14ac:dyDescent="0.3">
      <c r="B45" s="1562" t="s">
        <v>1034</v>
      </c>
      <c r="C45" s="1563" t="s">
        <v>710</v>
      </c>
      <c r="D45" s="1563"/>
      <c r="E45" s="1564">
        <f>SUM(E46:E47)</f>
        <v>458175</v>
      </c>
      <c r="F45" s="1564">
        <f>SUM(F46:F47)</f>
        <v>0</v>
      </c>
      <c r="G45" s="1565">
        <f>SUM(G46:G47)</f>
        <v>458175</v>
      </c>
      <c r="H45" s="769"/>
      <c r="J45" s="768"/>
      <c r="K45" s="768"/>
    </row>
    <row r="46" spans="2:11" ht="20.100000000000001" customHeight="1" x14ac:dyDescent="0.3">
      <c r="B46" s="1566"/>
      <c r="C46" s="1604" t="s">
        <v>1035</v>
      </c>
      <c r="D46" s="1604"/>
      <c r="E46" s="1605">
        <v>448100</v>
      </c>
      <c r="F46" s="1606">
        <v>0</v>
      </c>
      <c r="G46" s="1570">
        <f>E46-F46</f>
        <v>448100</v>
      </c>
      <c r="H46" s="769"/>
      <c r="J46" s="768"/>
      <c r="K46" s="768"/>
    </row>
    <row r="47" spans="2:11" ht="20.100000000000001" customHeight="1" x14ac:dyDescent="0.3">
      <c r="B47" s="1566"/>
      <c r="C47" s="1604" t="s">
        <v>1036</v>
      </c>
      <c r="D47" s="1604"/>
      <c r="E47" s="1605">
        <v>10075</v>
      </c>
      <c r="F47" s="1606">
        <v>0</v>
      </c>
      <c r="G47" s="1570">
        <f>E47-F47</f>
        <v>10075</v>
      </c>
      <c r="H47" s="769"/>
      <c r="J47" s="768"/>
      <c r="K47" s="768"/>
    </row>
    <row r="48" spans="2:11" s="771" customFormat="1" ht="20.100000000000001" customHeight="1" x14ac:dyDescent="0.3">
      <c r="B48" s="1607" t="s">
        <v>1037</v>
      </c>
      <c r="C48" s="1608" t="s">
        <v>1038</v>
      </c>
      <c r="D48" s="1609"/>
      <c r="E48" s="1610">
        <v>0</v>
      </c>
      <c r="F48" s="1611">
        <v>0</v>
      </c>
      <c r="G48" s="1612">
        <f>E48-F48</f>
        <v>0</v>
      </c>
      <c r="H48" s="769"/>
      <c r="J48" s="768"/>
      <c r="K48" s="768"/>
    </row>
    <row r="49" spans="2:11" s="769" customFormat="1" ht="20.100000000000001" customHeight="1" thickBot="1" x14ac:dyDescent="0.35">
      <c r="B49" s="1613" t="s">
        <v>720</v>
      </c>
      <c r="C49" s="1614" t="s">
        <v>1039</v>
      </c>
      <c r="D49" s="1615"/>
      <c r="E49" s="1616">
        <f>SUM(E50)</f>
        <v>6457767</v>
      </c>
      <c r="F49" s="1617"/>
      <c r="G49" s="1618">
        <f>SUM(G50:G52)</f>
        <v>6457767</v>
      </c>
      <c r="J49" s="768"/>
      <c r="K49" s="768"/>
    </row>
    <row r="50" spans="2:11" s="773" customFormat="1" ht="20.100000000000001" customHeight="1" x14ac:dyDescent="0.3">
      <c r="B50" s="1571" t="s">
        <v>1040</v>
      </c>
      <c r="C50" s="1572" t="s">
        <v>1041</v>
      </c>
      <c r="D50" s="1619"/>
      <c r="E50" s="1620">
        <v>6457767</v>
      </c>
      <c r="F50" s="1621"/>
      <c r="G50" s="1570">
        <v>6457767</v>
      </c>
      <c r="J50" s="768"/>
      <c r="K50" s="768"/>
    </row>
    <row r="51" spans="2:11" s="773" customFormat="1" ht="20.100000000000001" customHeight="1" x14ac:dyDescent="0.3">
      <c r="B51" s="1566" t="s">
        <v>718</v>
      </c>
      <c r="C51" s="1567" t="s">
        <v>1042</v>
      </c>
      <c r="D51" s="1604"/>
      <c r="E51" s="1605"/>
      <c r="F51" s="1606"/>
      <c r="G51" s="1570">
        <v>0</v>
      </c>
      <c r="J51" s="768"/>
      <c r="K51" s="768"/>
    </row>
    <row r="52" spans="2:11" s="773" customFormat="1" ht="20.100000000000001" customHeight="1" thickBot="1" x14ac:dyDescent="0.35">
      <c r="B52" s="1571" t="s">
        <v>1043</v>
      </c>
      <c r="C52" s="1572" t="s">
        <v>1044</v>
      </c>
      <c r="D52" s="1619"/>
      <c r="E52" s="1620"/>
      <c r="F52" s="1621"/>
      <c r="G52" s="1579">
        <v>0</v>
      </c>
      <c r="J52" s="768"/>
      <c r="K52" s="768"/>
    </row>
    <row r="53" spans="2:11" s="769" customFormat="1" ht="20.100000000000001" customHeight="1" thickBot="1" x14ac:dyDescent="0.35">
      <c r="B53" s="1558" t="s">
        <v>1045</v>
      </c>
      <c r="C53" s="1559" t="s">
        <v>1046</v>
      </c>
      <c r="D53" s="1622"/>
      <c r="E53" s="1623">
        <f>SUM(E54)</f>
        <v>57022</v>
      </c>
      <c r="F53" s="1623">
        <f>SUM(F54)</f>
        <v>0</v>
      </c>
      <c r="G53" s="1624">
        <f>SUM(G54)</f>
        <v>57022</v>
      </c>
      <c r="J53" s="768"/>
      <c r="K53" s="768"/>
    </row>
    <row r="54" spans="2:11" ht="20.100000000000001" customHeight="1" thickBot="1" x14ac:dyDescent="0.35">
      <c r="B54" s="1571" t="s">
        <v>1047</v>
      </c>
      <c r="C54" s="1625" t="s">
        <v>1048</v>
      </c>
      <c r="D54" s="1619"/>
      <c r="E54" s="1620">
        <v>57022</v>
      </c>
      <c r="F54" s="1621">
        <v>0</v>
      </c>
      <c r="G54" s="1579">
        <v>57022</v>
      </c>
      <c r="J54" s="768"/>
      <c r="K54" s="768"/>
    </row>
    <row r="55" spans="2:11" s="769" customFormat="1" ht="20.100000000000001" customHeight="1" thickBot="1" x14ac:dyDescent="0.35">
      <c r="B55" s="1558" t="s">
        <v>1049</v>
      </c>
      <c r="C55" s="1559" t="s">
        <v>1050</v>
      </c>
      <c r="D55" s="1622"/>
      <c r="E55" s="1623" t="s">
        <v>51</v>
      </c>
      <c r="F55" s="1626"/>
      <c r="G55" s="1561">
        <f>SUM(G56:G57)</f>
        <v>29732</v>
      </c>
      <c r="J55" s="768"/>
    </row>
    <row r="56" spans="2:11" s="773" customFormat="1" ht="20.100000000000001" customHeight="1" x14ac:dyDescent="0.3">
      <c r="B56" s="1571" t="s">
        <v>727</v>
      </c>
      <c r="C56" s="1572" t="s">
        <v>1051</v>
      </c>
      <c r="D56" s="1619"/>
      <c r="E56" s="1620" t="s">
        <v>51</v>
      </c>
      <c r="F56" s="1621"/>
      <c r="G56" s="1579">
        <v>29732</v>
      </c>
      <c r="J56" s="768"/>
    </row>
    <row r="57" spans="2:11" s="773" customFormat="1" ht="20.100000000000001" customHeight="1" x14ac:dyDescent="0.3">
      <c r="B57" s="1566" t="s">
        <v>729</v>
      </c>
      <c r="C57" s="1567" t="s">
        <v>728</v>
      </c>
      <c r="D57" s="1604"/>
      <c r="E57" s="1605" t="s">
        <v>51</v>
      </c>
      <c r="F57" s="1606"/>
      <c r="G57" s="1570">
        <v>0</v>
      </c>
      <c r="J57" s="768"/>
    </row>
    <row r="58" spans="2:11" ht="20.100000000000001" customHeight="1" thickBot="1" x14ac:dyDescent="0.35">
      <c r="B58" s="1571"/>
      <c r="C58" s="1572"/>
      <c r="D58" s="1619"/>
      <c r="E58" s="1620"/>
      <c r="F58" s="1621"/>
      <c r="G58" s="1579"/>
      <c r="J58" s="768"/>
    </row>
    <row r="59" spans="2:11" s="769" customFormat="1" ht="20.100000000000001" customHeight="1" thickBot="1" x14ac:dyDescent="0.35">
      <c r="B59" s="1558" t="s">
        <v>743</v>
      </c>
      <c r="C59" s="1559" t="s">
        <v>1052</v>
      </c>
      <c r="D59" s="1622"/>
      <c r="E59" s="1627"/>
      <c r="F59" s="1622"/>
      <c r="G59" s="1628">
        <f>SUM(G60:G63)</f>
        <v>3699714</v>
      </c>
      <c r="J59" s="768"/>
    </row>
    <row r="60" spans="2:11" s="773" customFormat="1" ht="20.100000000000001" customHeight="1" x14ac:dyDescent="0.25">
      <c r="B60" s="1571" t="s">
        <v>735</v>
      </c>
      <c r="C60" s="1572" t="s">
        <v>734</v>
      </c>
      <c r="D60" s="1619"/>
      <c r="E60" s="1620"/>
      <c r="F60" s="1621"/>
      <c r="G60" s="1629">
        <v>0</v>
      </c>
    </row>
    <row r="61" spans="2:11" s="773" customFormat="1" ht="20.100000000000001" customHeight="1" x14ac:dyDescent="0.25">
      <c r="B61" s="1566" t="s">
        <v>737</v>
      </c>
      <c r="C61" s="1567" t="s">
        <v>736</v>
      </c>
      <c r="D61" s="1604"/>
      <c r="E61" s="1605"/>
      <c r="F61" s="1606"/>
      <c r="G61" s="1630">
        <v>2083</v>
      </c>
    </row>
    <row r="62" spans="2:11" s="773" customFormat="1" ht="20.100000000000001" customHeight="1" x14ac:dyDescent="0.25">
      <c r="B62" s="1571" t="s">
        <v>739</v>
      </c>
      <c r="C62" s="1572" t="s">
        <v>738</v>
      </c>
      <c r="D62" s="1619"/>
      <c r="E62" s="1620"/>
      <c r="F62" s="1621"/>
      <c r="G62" s="1629">
        <v>3647085</v>
      </c>
    </row>
    <row r="63" spans="2:11" s="773" customFormat="1" ht="20.100000000000001" customHeight="1" x14ac:dyDescent="0.25">
      <c r="B63" s="1566" t="s">
        <v>1053</v>
      </c>
      <c r="C63" s="1567" t="s">
        <v>740</v>
      </c>
      <c r="D63" s="1604"/>
      <c r="E63" s="1605"/>
      <c r="F63" s="1606"/>
      <c r="G63" s="1630">
        <v>50546</v>
      </c>
    </row>
    <row r="64" spans="2:11" ht="20.100000000000001" customHeight="1" thickBot="1" x14ac:dyDescent="0.3">
      <c r="B64" s="1571"/>
      <c r="C64" s="1572"/>
      <c r="D64" s="1619"/>
      <c r="E64" s="1620"/>
      <c r="F64" s="1621"/>
      <c r="G64" s="1579"/>
    </row>
    <row r="65" spans="2:7" ht="20.100000000000001" customHeight="1" x14ac:dyDescent="0.25">
      <c r="B65" s="1631"/>
      <c r="C65" s="1632"/>
      <c r="D65" s="1633"/>
      <c r="E65" s="1634"/>
      <c r="F65" s="1633"/>
      <c r="G65" s="1635"/>
    </row>
    <row r="66" spans="2:7" s="770" customFormat="1" ht="20.100000000000001" customHeight="1" x14ac:dyDescent="0.25">
      <c r="B66" s="1636" t="s">
        <v>1054</v>
      </c>
      <c r="C66" s="1563"/>
      <c r="D66" s="1563"/>
      <c r="E66" s="1582"/>
      <c r="F66" s="1563"/>
      <c r="G66" s="1583"/>
    </row>
    <row r="67" spans="2:7" s="772" customFormat="1" ht="20.100000000000001" customHeight="1" x14ac:dyDescent="0.25">
      <c r="B67" s="1562"/>
      <c r="C67" s="1563" t="s">
        <v>1055</v>
      </c>
      <c r="D67" s="1563"/>
      <c r="E67" s="1564">
        <f>SUM(E68:E71)</f>
        <v>2469633</v>
      </c>
      <c r="F67" s="1564">
        <f>SUM(F68:F71)</f>
        <v>2469633</v>
      </c>
      <c r="G67" s="1583">
        <f>SUM(G68:G71)</f>
        <v>0</v>
      </c>
    </row>
    <row r="68" spans="2:7" s="773" customFormat="1" ht="20.100000000000001" customHeight="1" x14ac:dyDescent="0.25">
      <c r="B68" s="1566"/>
      <c r="C68" s="1567" t="s">
        <v>1005</v>
      </c>
      <c r="D68" s="1567"/>
      <c r="E68" s="1568">
        <f>88559+124669</f>
        <v>213228</v>
      </c>
      <c r="F68" s="1568">
        <f>88559+124669</f>
        <v>213228</v>
      </c>
      <c r="G68" s="1637">
        <f>+E68-F68</f>
        <v>0</v>
      </c>
    </row>
    <row r="69" spans="2:7" s="773" customFormat="1" ht="20.100000000000001" customHeight="1" x14ac:dyDescent="0.25">
      <c r="B69" s="1571"/>
      <c r="C69" s="1572" t="s">
        <v>1056</v>
      </c>
      <c r="D69" s="1572"/>
      <c r="E69" s="1573">
        <v>325953</v>
      </c>
      <c r="F69" s="1573">
        <v>325953</v>
      </c>
      <c r="G69" s="1637">
        <f>+E69-F69</f>
        <v>0</v>
      </c>
    </row>
    <row r="70" spans="2:7" s="773" customFormat="1" ht="20.100000000000001" customHeight="1" x14ac:dyDescent="0.25">
      <c r="B70" s="1566"/>
      <c r="C70" s="1567" t="s">
        <v>1057</v>
      </c>
      <c r="D70" s="1567"/>
      <c r="E70" s="1568">
        <f>383916+964664+200804+381068-408</f>
        <v>1930044</v>
      </c>
      <c r="F70" s="1568">
        <v>1930044</v>
      </c>
      <c r="G70" s="1637">
        <f>+E70-F70</f>
        <v>0</v>
      </c>
    </row>
    <row r="71" spans="2:7" s="773" customFormat="1" ht="19.5" customHeight="1" x14ac:dyDescent="0.25">
      <c r="B71" s="1566"/>
      <c r="C71" s="1567" t="s">
        <v>708</v>
      </c>
      <c r="D71" s="1567"/>
      <c r="E71" s="1568">
        <v>408</v>
      </c>
      <c r="F71" s="1568">
        <v>408</v>
      </c>
      <c r="G71" s="1637">
        <f>+E71-F71</f>
        <v>0</v>
      </c>
    </row>
    <row r="72" spans="2:7" s="770" customFormat="1" ht="19.5" customHeight="1" x14ac:dyDescent="0.25">
      <c r="B72" s="1562"/>
      <c r="C72" s="1572"/>
      <c r="D72" s="1563"/>
      <c r="E72" s="1573"/>
      <c r="F72" s="1638"/>
      <c r="G72" s="1583"/>
    </row>
    <row r="73" spans="2:7" s="772" customFormat="1" ht="20.100000000000001" customHeight="1" x14ac:dyDescent="0.25">
      <c r="B73" s="1562"/>
      <c r="C73" s="1563" t="s">
        <v>1058</v>
      </c>
      <c r="D73" s="1563"/>
      <c r="E73" s="1564">
        <f>SUM(E74:E76)</f>
        <v>662942</v>
      </c>
      <c r="F73" s="1564">
        <f>SUM(F74:F76)</f>
        <v>662942</v>
      </c>
      <c r="G73" s="1583">
        <f>SUM(G74:G76)</f>
        <v>0</v>
      </c>
    </row>
    <row r="74" spans="2:7" s="770" customFormat="1" ht="19.5" customHeight="1" x14ac:dyDescent="0.25">
      <c r="B74" s="1575"/>
      <c r="C74" s="1567" t="s">
        <v>1059</v>
      </c>
      <c r="D74" s="1576"/>
      <c r="E74" s="1568">
        <v>25942</v>
      </c>
      <c r="F74" s="1569">
        <v>25942</v>
      </c>
      <c r="G74" s="1637">
        <f>+E74-F74</f>
        <v>0</v>
      </c>
    </row>
    <row r="75" spans="2:7" s="770" customFormat="1" ht="20.100000000000001" customHeight="1" x14ac:dyDescent="0.25">
      <c r="B75" s="1562"/>
      <c r="C75" s="1572" t="s">
        <v>1060</v>
      </c>
      <c r="D75" s="1563"/>
      <c r="E75" s="1573">
        <v>24584</v>
      </c>
      <c r="F75" s="1574">
        <v>24584</v>
      </c>
      <c r="G75" s="1637">
        <f>+E75-F75</f>
        <v>0</v>
      </c>
    </row>
    <row r="76" spans="2:7" s="770" customFormat="1" ht="20.100000000000001" customHeight="1" x14ac:dyDescent="0.25">
      <c r="B76" s="1575"/>
      <c r="C76" s="1567" t="s">
        <v>1061</v>
      </c>
      <c r="D76" s="1576"/>
      <c r="E76" s="1568">
        <v>612416</v>
      </c>
      <c r="F76" s="1569">
        <v>612416</v>
      </c>
      <c r="G76" s="1637">
        <f>+E76-F76</f>
        <v>0</v>
      </c>
    </row>
    <row r="77" spans="2:7" s="770" customFormat="1" ht="20.100000000000001" customHeight="1" x14ac:dyDescent="0.25">
      <c r="B77" s="1562"/>
      <c r="C77" s="1572"/>
      <c r="D77" s="1563"/>
      <c r="E77" s="1639"/>
      <c r="F77" s="1572"/>
      <c r="G77" s="1640"/>
    </row>
    <row r="78" spans="2:7" s="770" customFormat="1" ht="20.100000000000001" customHeight="1" x14ac:dyDescent="0.25">
      <c r="B78" s="1562"/>
      <c r="C78" s="1563" t="s">
        <v>1062</v>
      </c>
      <c r="D78" s="1563"/>
      <c r="E78" s="1582"/>
      <c r="F78" s="1582"/>
      <c r="G78" s="1641"/>
    </row>
    <row r="79" spans="2:7" s="770" customFormat="1" ht="20.100000000000001" customHeight="1" x14ac:dyDescent="0.25">
      <c r="B79" s="1575"/>
      <c r="C79" s="1576" t="s">
        <v>1063</v>
      </c>
      <c r="D79" s="1576"/>
      <c r="E79" s="1642"/>
      <c r="F79" s="1642"/>
      <c r="G79" s="1583"/>
    </row>
    <row r="80" spans="2:7" s="773" customFormat="1" ht="36.75" customHeight="1" x14ac:dyDescent="0.25">
      <c r="B80" s="1571"/>
      <c r="C80" s="2072" t="s">
        <v>1064</v>
      </c>
      <c r="D80" s="2073"/>
      <c r="E80" s="1573">
        <v>1130715</v>
      </c>
      <c r="F80" s="1639"/>
      <c r="G80" s="1637"/>
    </row>
    <row r="81" spans="2:7" s="773" customFormat="1" ht="20.100000000000001" customHeight="1" x14ac:dyDescent="0.25">
      <c r="B81" s="1566"/>
      <c r="C81" s="1567" t="s">
        <v>1065</v>
      </c>
      <c r="D81" s="1567"/>
      <c r="E81" s="1568"/>
      <c r="F81" s="1643"/>
      <c r="G81" s="1637"/>
    </row>
    <row r="82" spans="2:7" s="773" customFormat="1" ht="20.100000000000001" customHeight="1" x14ac:dyDescent="0.25">
      <c r="B82" s="1571"/>
      <c r="C82" s="1572" t="s">
        <v>1066</v>
      </c>
      <c r="D82" s="1572"/>
      <c r="E82" s="1573">
        <v>80003</v>
      </c>
      <c r="F82" s="1639"/>
      <c r="G82" s="1637"/>
    </row>
    <row r="83" spans="2:7" s="773" customFormat="1" ht="20.100000000000001" customHeight="1" x14ac:dyDescent="0.25">
      <c r="B83" s="1566"/>
      <c r="C83" s="1567" t="s">
        <v>1067</v>
      </c>
      <c r="D83" s="1567"/>
      <c r="E83" s="1568">
        <v>19787836</v>
      </c>
      <c r="F83" s="1643"/>
      <c r="G83" s="1637"/>
    </row>
    <row r="84" spans="2:7" ht="20.100000000000001" customHeight="1" x14ac:dyDescent="0.25">
      <c r="B84" s="1571"/>
      <c r="C84" s="1572"/>
      <c r="D84" s="1572"/>
      <c r="E84" s="1639"/>
      <c r="F84" s="1572"/>
      <c r="G84" s="1640"/>
    </row>
    <row r="85" spans="2:7" s="771" customFormat="1" ht="20.100000000000001" customHeight="1" x14ac:dyDescent="0.25">
      <c r="B85" s="1644"/>
      <c r="C85" s="1593" t="s">
        <v>1068</v>
      </c>
      <c r="D85" s="1593"/>
      <c r="E85" s="1577">
        <f>SUM(E86:E90)</f>
        <v>24303227</v>
      </c>
      <c r="F85" s="1577">
        <f t="shared" ref="F85:G85" si="4">SUM(F86:F90)</f>
        <v>7406829</v>
      </c>
      <c r="G85" s="1578">
        <f t="shared" si="4"/>
        <v>16896398</v>
      </c>
    </row>
    <row r="86" spans="2:7" s="773" customFormat="1" ht="24.75" customHeight="1" x14ac:dyDescent="0.25">
      <c r="B86" s="1566"/>
      <c r="C86" s="2067" t="s">
        <v>1069</v>
      </c>
      <c r="D86" s="2068"/>
      <c r="E86" s="1568">
        <f>4832528-1</f>
        <v>4832527</v>
      </c>
      <c r="F86" s="1569">
        <f>2048577</f>
        <v>2048577</v>
      </c>
      <c r="G86" s="1570">
        <f>+E86-F86</f>
        <v>2783950</v>
      </c>
    </row>
    <row r="87" spans="2:7" s="773" customFormat="1" ht="24.75" customHeight="1" x14ac:dyDescent="0.25">
      <c r="B87" s="1566"/>
      <c r="C87" s="2067" t="s">
        <v>1304</v>
      </c>
      <c r="D87" s="2068"/>
      <c r="E87" s="1568">
        <v>4462180</v>
      </c>
      <c r="F87" s="1569">
        <v>2200052</v>
      </c>
      <c r="G87" s="1570">
        <f>+E87-F87</f>
        <v>2262128</v>
      </c>
    </row>
    <row r="88" spans="2:7" s="773" customFormat="1" ht="36.75" customHeight="1" x14ac:dyDescent="0.25">
      <c r="B88" s="1566"/>
      <c r="C88" s="2067" t="s">
        <v>1070</v>
      </c>
      <c r="D88" s="2068"/>
      <c r="E88" s="1568">
        <v>629294</v>
      </c>
      <c r="F88" s="1569">
        <v>358636</v>
      </c>
      <c r="G88" s="1570">
        <f>+E88-F88</f>
        <v>270658</v>
      </c>
    </row>
    <row r="89" spans="2:7" s="773" customFormat="1" ht="34.5" customHeight="1" x14ac:dyDescent="0.25">
      <c r="B89" s="1566"/>
      <c r="C89" s="2067" t="s">
        <v>1071</v>
      </c>
      <c r="D89" s="2068"/>
      <c r="E89" s="1568">
        <v>537321</v>
      </c>
      <c r="F89" s="1569">
        <v>296644</v>
      </c>
      <c r="G89" s="1570">
        <f>+E89-F89</f>
        <v>240677</v>
      </c>
    </row>
    <row r="90" spans="2:7" s="772" customFormat="1" ht="24.75" customHeight="1" thickBot="1" x14ac:dyDescent="0.3">
      <c r="B90" s="1613"/>
      <c r="C90" s="1645" t="s">
        <v>1306</v>
      </c>
      <c r="D90" s="1614"/>
      <c r="E90" s="1646">
        <f>13841905</f>
        <v>13841905</v>
      </c>
      <c r="F90" s="1614">
        <f>2502921-1</f>
        <v>2502920</v>
      </c>
      <c r="G90" s="1647">
        <f>+E90-F90</f>
        <v>11338985</v>
      </c>
    </row>
  </sheetData>
  <mergeCells count="7">
    <mergeCell ref="C89:D89"/>
    <mergeCell ref="B5:G5"/>
    <mergeCell ref="E7:G7"/>
    <mergeCell ref="C80:D80"/>
    <mergeCell ref="C86:D86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&amp;"Calibri,Félkövér"&amp;11 &amp;12 28. melléklet a .../2024. (…….)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420B-9237-40B0-939F-3290D3EA628B}">
  <sheetPr>
    <tabColor theme="0"/>
  </sheetPr>
  <dimension ref="A1:J36"/>
  <sheetViews>
    <sheetView zoomScaleNormal="100" workbookViewId="0">
      <selection activeCell="I30" sqref="I30"/>
    </sheetView>
  </sheetViews>
  <sheetFormatPr defaultRowHeight="14.25" x14ac:dyDescent="0.2"/>
  <cols>
    <col min="1" max="1" width="15.33203125" style="774" customWidth="1"/>
    <col min="2" max="2" width="16.5" style="774" customWidth="1"/>
    <col min="3" max="3" width="16.6640625" style="774" customWidth="1"/>
    <col min="4" max="4" width="38" style="774" customWidth="1"/>
    <col min="5" max="5" width="16.6640625" style="774" bestFit="1" customWidth="1"/>
    <col min="6" max="6" width="17.6640625" style="774" customWidth="1"/>
    <col min="7" max="7" width="16.6640625" style="775" bestFit="1" customWidth="1"/>
    <col min="8" max="8" width="16.33203125" style="774" bestFit="1" customWidth="1"/>
    <col min="9" max="9" width="14.6640625" style="775" customWidth="1"/>
    <col min="10" max="10" width="16" style="774" bestFit="1" customWidth="1"/>
    <col min="11" max="249" width="9.33203125" style="774"/>
    <col min="250" max="250" width="22.5" style="774" customWidth="1"/>
    <col min="251" max="251" width="15.33203125" style="774" customWidth="1"/>
    <col min="252" max="252" width="16.5" style="774" customWidth="1"/>
    <col min="253" max="253" width="16.6640625" style="774" customWidth="1"/>
    <col min="254" max="254" width="38" style="774" customWidth="1"/>
    <col min="255" max="255" width="19.83203125" style="774" bestFit="1" customWidth="1"/>
    <col min="256" max="256" width="20" style="774" bestFit="1" customWidth="1"/>
    <col min="257" max="257" width="21.33203125" style="774" customWidth="1"/>
    <col min="258" max="258" width="17" style="774" bestFit="1" customWidth="1"/>
    <col min="259" max="259" width="13.1640625" style="774" bestFit="1" customWidth="1"/>
    <col min="260" max="260" width="17.83203125" style="774" customWidth="1"/>
    <col min="261" max="261" width="18.1640625" style="774" bestFit="1" customWidth="1"/>
    <col min="262" max="262" width="16" style="774" bestFit="1" customWidth="1"/>
    <col min="263" max="263" width="14.6640625" style="774" bestFit="1" customWidth="1"/>
    <col min="264" max="505" width="9.33203125" style="774"/>
    <col min="506" max="506" width="22.5" style="774" customWidth="1"/>
    <col min="507" max="507" width="15.33203125" style="774" customWidth="1"/>
    <col min="508" max="508" width="16.5" style="774" customWidth="1"/>
    <col min="509" max="509" width="16.6640625" style="774" customWidth="1"/>
    <col min="510" max="510" width="38" style="774" customWidth="1"/>
    <col min="511" max="511" width="19.83203125" style="774" bestFit="1" customWidth="1"/>
    <col min="512" max="512" width="20" style="774" bestFit="1" customWidth="1"/>
    <col min="513" max="513" width="21.33203125" style="774" customWidth="1"/>
    <col min="514" max="514" width="17" style="774" bestFit="1" customWidth="1"/>
    <col min="515" max="515" width="13.1640625" style="774" bestFit="1" customWidth="1"/>
    <col min="516" max="516" width="17.83203125" style="774" customWidth="1"/>
    <col min="517" max="517" width="18.1640625" style="774" bestFit="1" customWidth="1"/>
    <col min="518" max="518" width="16" style="774" bestFit="1" customWidth="1"/>
    <col min="519" max="519" width="14.6640625" style="774" bestFit="1" customWidth="1"/>
    <col min="520" max="761" width="9.33203125" style="774"/>
    <col min="762" max="762" width="22.5" style="774" customWidth="1"/>
    <col min="763" max="763" width="15.33203125" style="774" customWidth="1"/>
    <col min="764" max="764" width="16.5" style="774" customWidth="1"/>
    <col min="765" max="765" width="16.6640625" style="774" customWidth="1"/>
    <col min="766" max="766" width="38" style="774" customWidth="1"/>
    <col min="767" max="767" width="19.83203125" style="774" bestFit="1" customWidth="1"/>
    <col min="768" max="768" width="20" style="774" bestFit="1" customWidth="1"/>
    <col min="769" max="769" width="21.33203125" style="774" customWidth="1"/>
    <col min="770" max="770" width="17" style="774" bestFit="1" customWidth="1"/>
    <col min="771" max="771" width="13.1640625" style="774" bestFit="1" customWidth="1"/>
    <col min="772" max="772" width="17.83203125" style="774" customWidth="1"/>
    <col min="773" max="773" width="18.1640625" style="774" bestFit="1" customWidth="1"/>
    <col min="774" max="774" width="16" style="774" bestFit="1" customWidth="1"/>
    <col min="775" max="775" width="14.6640625" style="774" bestFit="1" customWidth="1"/>
    <col min="776" max="1017" width="9.33203125" style="774"/>
    <col min="1018" max="1018" width="22.5" style="774" customWidth="1"/>
    <col min="1019" max="1019" width="15.33203125" style="774" customWidth="1"/>
    <col min="1020" max="1020" width="16.5" style="774" customWidth="1"/>
    <col min="1021" max="1021" width="16.6640625" style="774" customWidth="1"/>
    <col min="1022" max="1022" width="38" style="774" customWidth="1"/>
    <col min="1023" max="1023" width="19.83203125" style="774" bestFit="1" customWidth="1"/>
    <col min="1024" max="1024" width="20" style="774" bestFit="1" customWidth="1"/>
    <col min="1025" max="1025" width="21.33203125" style="774" customWidth="1"/>
    <col min="1026" max="1026" width="17" style="774" bestFit="1" customWidth="1"/>
    <col min="1027" max="1027" width="13.1640625" style="774" bestFit="1" customWidth="1"/>
    <col min="1028" max="1028" width="17.83203125" style="774" customWidth="1"/>
    <col min="1029" max="1029" width="18.1640625" style="774" bestFit="1" customWidth="1"/>
    <col min="1030" max="1030" width="16" style="774" bestFit="1" customWidth="1"/>
    <col min="1031" max="1031" width="14.6640625" style="774" bestFit="1" customWidth="1"/>
    <col min="1032" max="1273" width="9.33203125" style="774"/>
    <col min="1274" max="1274" width="22.5" style="774" customWidth="1"/>
    <col min="1275" max="1275" width="15.33203125" style="774" customWidth="1"/>
    <col min="1276" max="1276" width="16.5" style="774" customWidth="1"/>
    <col min="1277" max="1277" width="16.6640625" style="774" customWidth="1"/>
    <col min="1278" max="1278" width="38" style="774" customWidth="1"/>
    <col min="1279" max="1279" width="19.83203125" style="774" bestFit="1" customWidth="1"/>
    <col min="1280" max="1280" width="20" style="774" bestFit="1" customWidth="1"/>
    <col min="1281" max="1281" width="21.33203125" style="774" customWidth="1"/>
    <col min="1282" max="1282" width="17" style="774" bestFit="1" customWidth="1"/>
    <col min="1283" max="1283" width="13.1640625" style="774" bestFit="1" customWidth="1"/>
    <col min="1284" max="1284" width="17.83203125" style="774" customWidth="1"/>
    <col min="1285" max="1285" width="18.1640625" style="774" bestFit="1" customWidth="1"/>
    <col min="1286" max="1286" width="16" style="774" bestFit="1" customWidth="1"/>
    <col min="1287" max="1287" width="14.6640625" style="774" bestFit="1" customWidth="1"/>
    <col min="1288" max="1529" width="9.33203125" style="774"/>
    <col min="1530" max="1530" width="22.5" style="774" customWidth="1"/>
    <col min="1531" max="1531" width="15.33203125" style="774" customWidth="1"/>
    <col min="1532" max="1532" width="16.5" style="774" customWidth="1"/>
    <col min="1533" max="1533" width="16.6640625" style="774" customWidth="1"/>
    <col min="1534" max="1534" width="38" style="774" customWidth="1"/>
    <col min="1535" max="1535" width="19.83203125" style="774" bestFit="1" customWidth="1"/>
    <col min="1536" max="1536" width="20" style="774" bestFit="1" customWidth="1"/>
    <col min="1537" max="1537" width="21.33203125" style="774" customWidth="1"/>
    <col min="1538" max="1538" width="17" style="774" bestFit="1" customWidth="1"/>
    <col min="1539" max="1539" width="13.1640625" style="774" bestFit="1" customWidth="1"/>
    <col min="1540" max="1540" width="17.83203125" style="774" customWidth="1"/>
    <col min="1541" max="1541" width="18.1640625" style="774" bestFit="1" customWidth="1"/>
    <col min="1542" max="1542" width="16" style="774" bestFit="1" customWidth="1"/>
    <col min="1543" max="1543" width="14.6640625" style="774" bestFit="1" customWidth="1"/>
    <col min="1544" max="1785" width="9.33203125" style="774"/>
    <col min="1786" max="1786" width="22.5" style="774" customWidth="1"/>
    <col min="1787" max="1787" width="15.33203125" style="774" customWidth="1"/>
    <col min="1788" max="1788" width="16.5" style="774" customWidth="1"/>
    <col min="1789" max="1789" width="16.6640625" style="774" customWidth="1"/>
    <col min="1790" max="1790" width="38" style="774" customWidth="1"/>
    <col min="1791" max="1791" width="19.83203125" style="774" bestFit="1" customWidth="1"/>
    <col min="1792" max="1792" width="20" style="774" bestFit="1" customWidth="1"/>
    <col min="1793" max="1793" width="21.33203125" style="774" customWidth="1"/>
    <col min="1794" max="1794" width="17" style="774" bestFit="1" customWidth="1"/>
    <col min="1795" max="1795" width="13.1640625" style="774" bestFit="1" customWidth="1"/>
    <col min="1796" max="1796" width="17.83203125" style="774" customWidth="1"/>
    <col min="1797" max="1797" width="18.1640625" style="774" bestFit="1" customWidth="1"/>
    <col min="1798" max="1798" width="16" style="774" bestFit="1" customWidth="1"/>
    <col min="1799" max="1799" width="14.6640625" style="774" bestFit="1" customWidth="1"/>
    <col min="1800" max="2041" width="9.33203125" style="774"/>
    <col min="2042" max="2042" width="22.5" style="774" customWidth="1"/>
    <col min="2043" max="2043" width="15.33203125" style="774" customWidth="1"/>
    <col min="2044" max="2044" width="16.5" style="774" customWidth="1"/>
    <col min="2045" max="2045" width="16.6640625" style="774" customWidth="1"/>
    <col min="2046" max="2046" width="38" style="774" customWidth="1"/>
    <col min="2047" max="2047" width="19.83203125" style="774" bestFit="1" customWidth="1"/>
    <col min="2048" max="2048" width="20" style="774" bestFit="1" customWidth="1"/>
    <col min="2049" max="2049" width="21.33203125" style="774" customWidth="1"/>
    <col min="2050" max="2050" width="17" style="774" bestFit="1" customWidth="1"/>
    <col min="2051" max="2051" width="13.1640625" style="774" bestFit="1" customWidth="1"/>
    <col min="2052" max="2052" width="17.83203125" style="774" customWidth="1"/>
    <col min="2053" max="2053" width="18.1640625" style="774" bestFit="1" customWidth="1"/>
    <col min="2054" max="2054" width="16" style="774" bestFit="1" customWidth="1"/>
    <col min="2055" max="2055" width="14.6640625" style="774" bestFit="1" customWidth="1"/>
    <col min="2056" max="2297" width="9.33203125" style="774"/>
    <col min="2298" max="2298" width="22.5" style="774" customWidth="1"/>
    <col min="2299" max="2299" width="15.33203125" style="774" customWidth="1"/>
    <col min="2300" max="2300" width="16.5" style="774" customWidth="1"/>
    <col min="2301" max="2301" width="16.6640625" style="774" customWidth="1"/>
    <col min="2302" max="2302" width="38" style="774" customWidth="1"/>
    <col min="2303" max="2303" width="19.83203125" style="774" bestFit="1" customWidth="1"/>
    <col min="2304" max="2304" width="20" style="774" bestFit="1" customWidth="1"/>
    <col min="2305" max="2305" width="21.33203125" style="774" customWidth="1"/>
    <col min="2306" max="2306" width="17" style="774" bestFit="1" customWidth="1"/>
    <col min="2307" max="2307" width="13.1640625" style="774" bestFit="1" customWidth="1"/>
    <col min="2308" max="2308" width="17.83203125" style="774" customWidth="1"/>
    <col min="2309" max="2309" width="18.1640625" style="774" bestFit="1" customWidth="1"/>
    <col min="2310" max="2310" width="16" style="774" bestFit="1" customWidth="1"/>
    <col min="2311" max="2311" width="14.6640625" style="774" bestFit="1" customWidth="1"/>
    <col min="2312" max="2553" width="9.33203125" style="774"/>
    <col min="2554" max="2554" width="22.5" style="774" customWidth="1"/>
    <col min="2555" max="2555" width="15.33203125" style="774" customWidth="1"/>
    <col min="2556" max="2556" width="16.5" style="774" customWidth="1"/>
    <col min="2557" max="2557" width="16.6640625" style="774" customWidth="1"/>
    <col min="2558" max="2558" width="38" style="774" customWidth="1"/>
    <col min="2559" max="2559" width="19.83203125" style="774" bestFit="1" customWidth="1"/>
    <col min="2560" max="2560" width="20" style="774" bestFit="1" customWidth="1"/>
    <col min="2561" max="2561" width="21.33203125" style="774" customWidth="1"/>
    <col min="2562" max="2562" width="17" style="774" bestFit="1" customWidth="1"/>
    <col min="2563" max="2563" width="13.1640625" style="774" bestFit="1" customWidth="1"/>
    <col min="2564" max="2564" width="17.83203125" style="774" customWidth="1"/>
    <col min="2565" max="2565" width="18.1640625" style="774" bestFit="1" customWidth="1"/>
    <col min="2566" max="2566" width="16" style="774" bestFit="1" customWidth="1"/>
    <col min="2567" max="2567" width="14.6640625" style="774" bestFit="1" customWidth="1"/>
    <col min="2568" max="2809" width="9.33203125" style="774"/>
    <col min="2810" max="2810" width="22.5" style="774" customWidth="1"/>
    <col min="2811" max="2811" width="15.33203125" style="774" customWidth="1"/>
    <col min="2812" max="2812" width="16.5" style="774" customWidth="1"/>
    <col min="2813" max="2813" width="16.6640625" style="774" customWidth="1"/>
    <col min="2814" max="2814" width="38" style="774" customWidth="1"/>
    <col min="2815" max="2815" width="19.83203125" style="774" bestFit="1" customWidth="1"/>
    <col min="2816" max="2816" width="20" style="774" bestFit="1" customWidth="1"/>
    <col min="2817" max="2817" width="21.33203125" style="774" customWidth="1"/>
    <col min="2818" max="2818" width="17" style="774" bestFit="1" customWidth="1"/>
    <col min="2819" max="2819" width="13.1640625" style="774" bestFit="1" customWidth="1"/>
    <col min="2820" max="2820" width="17.83203125" style="774" customWidth="1"/>
    <col min="2821" max="2821" width="18.1640625" style="774" bestFit="1" customWidth="1"/>
    <col min="2822" max="2822" width="16" style="774" bestFit="1" customWidth="1"/>
    <col min="2823" max="2823" width="14.6640625" style="774" bestFit="1" customWidth="1"/>
    <col min="2824" max="3065" width="9.33203125" style="774"/>
    <col min="3066" max="3066" width="22.5" style="774" customWidth="1"/>
    <col min="3067" max="3067" width="15.33203125" style="774" customWidth="1"/>
    <col min="3068" max="3068" width="16.5" style="774" customWidth="1"/>
    <col min="3069" max="3069" width="16.6640625" style="774" customWidth="1"/>
    <col min="3070" max="3070" width="38" style="774" customWidth="1"/>
    <col min="3071" max="3071" width="19.83203125" style="774" bestFit="1" customWidth="1"/>
    <col min="3072" max="3072" width="20" style="774" bestFit="1" customWidth="1"/>
    <col min="3073" max="3073" width="21.33203125" style="774" customWidth="1"/>
    <col min="3074" max="3074" width="17" style="774" bestFit="1" customWidth="1"/>
    <col min="3075" max="3075" width="13.1640625" style="774" bestFit="1" customWidth="1"/>
    <col min="3076" max="3076" width="17.83203125" style="774" customWidth="1"/>
    <col min="3077" max="3077" width="18.1640625" style="774" bestFit="1" customWidth="1"/>
    <col min="3078" max="3078" width="16" style="774" bestFit="1" customWidth="1"/>
    <col min="3079" max="3079" width="14.6640625" style="774" bestFit="1" customWidth="1"/>
    <col min="3080" max="3321" width="9.33203125" style="774"/>
    <col min="3322" max="3322" width="22.5" style="774" customWidth="1"/>
    <col min="3323" max="3323" width="15.33203125" style="774" customWidth="1"/>
    <col min="3324" max="3324" width="16.5" style="774" customWidth="1"/>
    <col min="3325" max="3325" width="16.6640625" style="774" customWidth="1"/>
    <col min="3326" max="3326" width="38" style="774" customWidth="1"/>
    <col min="3327" max="3327" width="19.83203125" style="774" bestFit="1" customWidth="1"/>
    <col min="3328" max="3328" width="20" style="774" bestFit="1" customWidth="1"/>
    <col min="3329" max="3329" width="21.33203125" style="774" customWidth="1"/>
    <col min="3330" max="3330" width="17" style="774" bestFit="1" customWidth="1"/>
    <col min="3331" max="3331" width="13.1640625" style="774" bestFit="1" customWidth="1"/>
    <col min="3332" max="3332" width="17.83203125" style="774" customWidth="1"/>
    <col min="3333" max="3333" width="18.1640625" style="774" bestFit="1" customWidth="1"/>
    <col min="3334" max="3334" width="16" style="774" bestFit="1" customWidth="1"/>
    <col min="3335" max="3335" width="14.6640625" style="774" bestFit="1" customWidth="1"/>
    <col min="3336" max="3577" width="9.33203125" style="774"/>
    <col min="3578" max="3578" width="22.5" style="774" customWidth="1"/>
    <col min="3579" max="3579" width="15.33203125" style="774" customWidth="1"/>
    <col min="3580" max="3580" width="16.5" style="774" customWidth="1"/>
    <col min="3581" max="3581" width="16.6640625" style="774" customWidth="1"/>
    <col min="3582" max="3582" width="38" style="774" customWidth="1"/>
    <col min="3583" max="3583" width="19.83203125" style="774" bestFit="1" customWidth="1"/>
    <col min="3584" max="3584" width="20" style="774" bestFit="1" customWidth="1"/>
    <col min="3585" max="3585" width="21.33203125" style="774" customWidth="1"/>
    <col min="3586" max="3586" width="17" style="774" bestFit="1" customWidth="1"/>
    <col min="3587" max="3587" width="13.1640625" style="774" bestFit="1" customWidth="1"/>
    <col min="3588" max="3588" width="17.83203125" style="774" customWidth="1"/>
    <col min="3589" max="3589" width="18.1640625" style="774" bestFit="1" customWidth="1"/>
    <col min="3590" max="3590" width="16" style="774" bestFit="1" customWidth="1"/>
    <col min="3591" max="3591" width="14.6640625" style="774" bestFit="1" customWidth="1"/>
    <col min="3592" max="3833" width="9.33203125" style="774"/>
    <col min="3834" max="3834" width="22.5" style="774" customWidth="1"/>
    <col min="3835" max="3835" width="15.33203125" style="774" customWidth="1"/>
    <col min="3836" max="3836" width="16.5" style="774" customWidth="1"/>
    <col min="3837" max="3837" width="16.6640625" style="774" customWidth="1"/>
    <col min="3838" max="3838" width="38" style="774" customWidth="1"/>
    <col min="3839" max="3839" width="19.83203125" style="774" bestFit="1" customWidth="1"/>
    <col min="3840" max="3840" width="20" style="774" bestFit="1" customWidth="1"/>
    <col min="3841" max="3841" width="21.33203125" style="774" customWidth="1"/>
    <col min="3842" max="3842" width="17" style="774" bestFit="1" customWidth="1"/>
    <col min="3843" max="3843" width="13.1640625" style="774" bestFit="1" customWidth="1"/>
    <col min="3844" max="3844" width="17.83203125" style="774" customWidth="1"/>
    <col min="3845" max="3845" width="18.1640625" style="774" bestFit="1" customWidth="1"/>
    <col min="3846" max="3846" width="16" style="774" bestFit="1" customWidth="1"/>
    <col min="3847" max="3847" width="14.6640625" style="774" bestFit="1" customWidth="1"/>
    <col min="3848" max="4089" width="9.33203125" style="774"/>
    <col min="4090" max="4090" width="22.5" style="774" customWidth="1"/>
    <col min="4091" max="4091" width="15.33203125" style="774" customWidth="1"/>
    <col min="4092" max="4092" width="16.5" style="774" customWidth="1"/>
    <col min="4093" max="4093" width="16.6640625" style="774" customWidth="1"/>
    <col min="4094" max="4094" width="38" style="774" customWidth="1"/>
    <col min="4095" max="4095" width="19.83203125" style="774" bestFit="1" customWidth="1"/>
    <col min="4096" max="4096" width="20" style="774" bestFit="1" customWidth="1"/>
    <col min="4097" max="4097" width="21.33203125" style="774" customWidth="1"/>
    <col min="4098" max="4098" width="17" style="774" bestFit="1" customWidth="1"/>
    <col min="4099" max="4099" width="13.1640625" style="774" bestFit="1" customWidth="1"/>
    <col min="4100" max="4100" width="17.83203125" style="774" customWidth="1"/>
    <col min="4101" max="4101" width="18.1640625" style="774" bestFit="1" customWidth="1"/>
    <col min="4102" max="4102" width="16" style="774" bestFit="1" customWidth="1"/>
    <col min="4103" max="4103" width="14.6640625" style="774" bestFit="1" customWidth="1"/>
    <col min="4104" max="4345" width="9.33203125" style="774"/>
    <col min="4346" max="4346" width="22.5" style="774" customWidth="1"/>
    <col min="4347" max="4347" width="15.33203125" style="774" customWidth="1"/>
    <col min="4348" max="4348" width="16.5" style="774" customWidth="1"/>
    <col min="4349" max="4349" width="16.6640625" style="774" customWidth="1"/>
    <col min="4350" max="4350" width="38" style="774" customWidth="1"/>
    <col min="4351" max="4351" width="19.83203125" style="774" bestFit="1" customWidth="1"/>
    <col min="4352" max="4352" width="20" style="774" bestFit="1" customWidth="1"/>
    <col min="4353" max="4353" width="21.33203125" style="774" customWidth="1"/>
    <col min="4354" max="4354" width="17" style="774" bestFit="1" customWidth="1"/>
    <col min="4355" max="4355" width="13.1640625" style="774" bestFit="1" customWidth="1"/>
    <col min="4356" max="4356" width="17.83203125" style="774" customWidth="1"/>
    <col min="4357" max="4357" width="18.1640625" style="774" bestFit="1" customWidth="1"/>
    <col min="4358" max="4358" width="16" style="774" bestFit="1" customWidth="1"/>
    <col min="4359" max="4359" width="14.6640625" style="774" bestFit="1" customWidth="1"/>
    <col min="4360" max="4601" width="9.33203125" style="774"/>
    <col min="4602" max="4602" width="22.5" style="774" customWidth="1"/>
    <col min="4603" max="4603" width="15.33203125" style="774" customWidth="1"/>
    <col min="4604" max="4604" width="16.5" style="774" customWidth="1"/>
    <col min="4605" max="4605" width="16.6640625" style="774" customWidth="1"/>
    <col min="4606" max="4606" width="38" style="774" customWidth="1"/>
    <col min="4607" max="4607" width="19.83203125" style="774" bestFit="1" customWidth="1"/>
    <col min="4608" max="4608" width="20" style="774" bestFit="1" customWidth="1"/>
    <col min="4609" max="4609" width="21.33203125" style="774" customWidth="1"/>
    <col min="4610" max="4610" width="17" style="774" bestFit="1" customWidth="1"/>
    <col min="4611" max="4611" width="13.1640625" style="774" bestFit="1" customWidth="1"/>
    <col min="4612" max="4612" width="17.83203125" style="774" customWidth="1"/>
    <col min="4613" max="4613" width="18.1640625" style="774" bestFit="1" customWidth="1"/>
    <col min="4614" max="4614" width="16" style="774" bestFit="1" customWidth="1"/>
    <col min="4615" max="4615" width="14.6640625" style="774" bestFit="1" customWidth="1"/>
    <col min="4616" max="4857" width="9.33203125" style="774"/>
    <col min="4858" max="4858" width="22.5" style="774" customWidth="1"/>
    <col min="4859" max="4859" width="15.33203125" style="774" customWidth="1"/>
    <col min="4860" max="4860" width="16.5" style="774" customWidth="1"/>
    <col min="4861" max="4861" width="16.6640625" style="774" customWidth="1"/>
    <col min="4862" max="4862" width="38" style="774" customWidth="1"/>
    <col min="4863" max="4863" width="19.83203125" style="774" bestFit="1" customWidth="1"/>
    <col min="4864" max="4864" width="20" style="774" bestFit="1" customWidth="1"/>
    <col min="4865" max="4865" width="21.33203125" style="774" customWidth="1"/>
    <col min="4866" max="4866" width="17" style="774" bestFit="1" customWidth="1"/>
    <col min="4867" max="4867" width="13.1640625" style="774" bestFit="1" customWidth="1"/>
    <col min="4868" max="4868" width="17.83203125" style="774" customWidth="1"/>
    <col min="4869" max="4869" width="18.1640625" style="774" bestFit="1" customWidth="1"/>
    <col min="4870" max="4870" width="16" style="774" bestFit="1" customWidth="1"/>
    <col min="4871" max="4871" width="14.6640625" style="774" bestFit="1" customWidth="1"/>
    <col min="4872" max="5113" width="9.33203125" style="774"/>
    <col min="5114" max="5114" width="22.5" style="774" customWidth="1"/>
    <col min="5115" max="5115" width="15.33203125" style="774" customWidth="1"/>
    <col min="5116" max="5116" width="16.5" style="774" customWidth="1"/>
    <col min="5117" max="5117" width="16.6640625" style="774" customWidth="1"/>
    <col min="5118" max="5118" width="38" style="774" customWidth="1"/>
    <col min="5119" max="5119" width="19.83203125" style="774" bestFit="1" customWidth="1"/>
    <col min="5120" max="5120" width="20" style="774" bestFit="1" customWidth="1"/>
    <col min="5121" max="5121" width="21.33203125" style="774" customWidth="1"/>
    <col min="5122" max="5122" width="17" style="774" bestFit="1" customWidth="1"/>
    <col min="5123" max="5123" width="13.1640625" style="774" bestFit="1" customWidth="1"/>
    <col min="5124" max="5124" width="17.83203125" style="774" customWidth="1"/>
    <col min="5125" max="5125" width="18.1640625" style="774" bestFit="1" customWidth="1"/>
    <col min="5126" max="5126" width="16" style="774" bestFit="1" customWidth="1"/>
    <col min="5127" max="5127" width="14.6640625" style="774" bestFit="1" customWidth="1"/>
    <col min="5128" max="5369" width="9.33203125" style="774"/>
    <col min="5370" max="5370" width="22.5" style="774" customWidth="1"/>
    <col min="5371" max="5371" width="15.33203125" style="774" customWidth="1"/>
    <col min="5372" max="5372" width="16.5" style="774" customWidth="1"/>
    <col min="5373" max="5373" width="16.6640625" style="774" customWidth="1"/>
    <col min="5374" max="5374" width="38" style="774" customWidth="1"/>
    <col min="5375" max="5375" width="19.83203125" style="774" bestFit="1" customWidth="1"/>
    <col min="5376" max="5376" width="20" style="774" bestFit="1" customWidth="1"/>
    <col min="5377" max="5377" width="21.33203125" style="774" customWidth="1"/>
    <col min="5378" max="5378" width="17" style="774" bestFit="1" customWidth="1"/>
    <col min="5379" max="5379" width="13.1640625" style="774" bestFit="1" customWidth="1"/>
    <col min="5380" max="5380" width="17.83203125" style="774" customWidth="1"/>
    <col min="5381" max="5381" width="18.1640625" style="774" bestFit="1" customWidth="1"/>
    <col min="5382" max="5382" width="16" style="774" bestFit="1" customWidth="1"/>
    <col min="5383" max="5383" width="14.6640625" style="774" bestFit="1" customWidth="1"/>
    <col min="5384" max="5625" width="9.33203125" style="774"/>
    <col min="5626" max="5626" width="22.5" style="774" customWidth="1"/>
    <col min="5627" max="5627" width="15.33203125" style="774" customWidth="1"/>
    <col min="5628" max="5628" width="16.5" style="774" customWidth="1"/>
    <col min="5629" max="5629" width="16.6640625" style="774" customWidth="1"/>
    <col min="5630" max="5630" width="38" style="774" customWidth="1"/>
    <col min="5631" max="5631" width="19.83203125" style="774" bestFit="1" customWidth="1"/>
    <col min="5632" max="5632" width="20" style="774" bestFit="1" customWidth="1"/>
    <col min="5633" max="5633" width="21.33203125" style="774" customWidth="1"/>
    <col min="5634" max="5634" width="17" style="774" bestFit="1" customWidth="1"/>
    <col min="5635" max="5635" width="13.1640625" style="774" bestFit="1" customWidth="1"/>
    <col min="5636" max="5636" width="17.83203125" style="774" customWidth="1"/>
    <col min="5637" max="5637" width="18.1640625" style="774" bestFit="1" customWidth="1"/>
    <col min="5638" max="5638" width="16" style="774" bestFit="1" customWidth="1"/>
    <col min="5639" max="5639" width="14.6640625" style="774" bestFit="1" customWidth="1"/>
    <col min="5640" max="5881" width="9.33203125" style="774"/>
    <col min="5882" max="5882" width="22.5" style="774" customWidth="1"/>
    <col min="5883" max="5883" width="15.33203125" style="774" customWidth="1"/>
    <col min="5884" max="5884" width="16.5" style="774" customWidth="1"/>
    <col min="5885" max="5885" width="16.6640625" style="774" customWidth="1"/>
    <col min="5886" max="5886" width="38" style="774" customWidth="1"/>
    <col min="5887" max="5887" width="19.83203125" style="774" bestFit="1" customWidth="1"/>
    <col min="5888" max="5888" width="20" style="774" bestFit="1" customWidth="1"/>
    <col min="5889" max="5889" width="21.33203125" style="774" customWidth="1"/>
    <col min="5890" max="5890" width="17" style="774" bestFit="1" customWidth="1"/>
    <col min="5891" max="5891" width="13.1640625" style="774" bestFit="1" customWidth="1"/>
    <col min="5892" max="5892" width="17.83203125" style="774" customWidth="1"/>
    <col min="5893" max="5893" width="18.1640625" style="774" bestFit="1" customWidth="1"/>
    <col min="5894" max="5894" width="16" style="774" bestFit="1" customWidth="1"/>
    <col min="5895" max="5895" width="14.6640625" style="774" bestFit="1" customWidth="1"/>
    <col min="5896" max="6137" width="9.33203125" style="774"/>
    <col min="6138" max="6138" width="22.5" style="774" customWidth="1"/>
    <col min="6139" max="6139" width="15.33203125" style="774" customWidth="1"/>
    <col min="6140" max="6140" width="16.5" style="774" customWidth="1"/>
    <col min="6141" max="6141" width="16.6640625" style="774" customWidth="1"/>
    <col min="6142" max="6142" width="38" style="774" customWidth="1"/>
    <col min="6143" max="6143" width="19.83203125" style="774" bestFit="1" customWidth="1"/>
    <col min="6144" max="6144" width="20" style="774" bestFit="1" customWidth="1"/>
    <col min="6145" max="6145" width="21.33203125" style="774" customWidth="1"/>
    <col min="6146" max="6146" width="17" style="774" bestFit="1" customWidth="1"/>
    <col min="6147" max="6147" width="13.1640625" style="774" bestFit="1" customWidth="1"/>
    <col min="6148" max="6148" width="17.83203125" style="774" customWidth="1"/>
    <col min="6149" max="6149" width="18.1640625" style="774" bestFit="1" customWidth="1"/>
    <col min="6150" max="6150" width="16" style="774" bestFit="1" customWidth="1"/>
    <col min="6151" max="6151" width="14.6640625" style="774" bestFit="1" customWidth="1"/>
    <col min="6152" max="6393" width="9.33203125" style="774"/>
    <col min="6394" max="6394" width="22.5" style="774" customWidth="1"/>
    <col min="6395" max="6395" width="15.33203125" style="774" customWidth="1"/>
    <col min="6396" max="6396" width="16.5" style="774" customWidth="1"/>
    <col min="6397" max="6397" width="16.6640625" style="774" customWidth="1"/>
    <col min="6398" max="6398" width="38" style="774" customWidth="1"/>
    <col min="6399" max="6399" width="19.83203125" style="774" bestFit="1" customWidth="1"/>
    <col min="6400" max="6400" width="20" style="774" bestFit="1" customWidth="1"/>
    <col min="6401" max="6401" width="21.33203125" style="774" customWidth="1"/>
    <col min="6402" max="6402" width="17" style="774" bestFit="1" customWidth="1"/>
    <col min="6403" max="6403" width="13.1640625" style="774" bestFit="1" customWidth="1"/>
    <col min="6404" max="6404" width="17.83203125" style="774" customWidth="1"/>
    <col min="6405" max="6405" width="18.1640625" style="774" bestFit="1" customWidth="1"/>
    <col min="6406" max="6406" width="16" style="774" bestFit="1" customWidth="1"/>
    <col min="6407" max="6407" width="14.6640625" style="774" bestFit="1" customWidth="1"/>
    <col min="6408" max="6649" width="9.33203125" style="774"/>
    <col min="6650" max="6650" width="22.5" style="774" customWidth="1"/>
    <col min="6651" max="6651" width="15.33203125" style="774" customWidth="1"/>
    <col min="6652" max="6652" width="16.5" style="774" customWidth="1"/>
    <col min="6653" max="6653" width="16.6640625" style="774" customWidth="1"/>
    <col min="6654" max="6654" width="38" style="774" customWidth="1"/>
    <col min="6655" max="6655" width="19.83203125" style="774" bestFit="1" customWidth="1"/>
    <col min="6656" max="6656" width="20" style="774" bestFit="1" customWidth="1"/>
    <col min="6657" max="6657" width="21.33203125" style="774" customWidth="1"/>
    <col min="6658" max="6658" width="17" style="774" bestFit="1" customWidth="1"/>
    <col min="6659" max="6659" width="13.1640625" style="774" bestFit="1" customWidth="1"/>
    <col min="6660" max="6660" width="17.83203125" style="774" customWidth="1"/>
    <col min="6661" max="6661" width="18.1640625" style="774" bestFit="1" customWidth="1"/>
    <col min="6662" max="6662" width="16" style="774" bestFit="1" customWidth="1"/>
    <col min="6663" max="6663" width="14.6640625" style="774" bestFit="1" customWidth="1"/>
    <col min="6664" max="6905" width="9.33203125" style="774"/>
    <col min="6906" max="6906" width="22.5" style="774" customWidth="1"/>
    <col min="6907" max="6907" width="15.33203125" style="774" customWidth="1"/>
    <col min="6908" max="6908" width="16.5" style="774" customWidth="1"/>
    <col min="6909" max="6909" width="16.6640625" style="774" customWidth="1"/>
    <col min="6910" max="6910" width="38" style="774" customWidth="1"/>
    <col min="6911" max="6911" width="19.83203125" style="774" bestFit="1" customWidth="1"/>
    <col min="6912" max="6912" width="20" style="774" bestFit="1" customWidth="1"/>
    <col min="6913" max="6913" width="21.33203125" style="774" customWidth="1"/>
    <col min="6914" max="6914" width="17" style="774" bestFit="1" customWidth="1"/>
    <col min="6915" max="6915" width="13.1640625" style="774" bestFit="1" customWidth="1"/>
    <col min="6916" max="6916" width="17.83203125" style="774" customWidth="1"/>
    <col min="6917" max="6917" width="18.1640625" style="774" bestFit="1" customWidth="1"/>
    <col min="6918" max="6918" width="16" style="774" bestFit="1" customWidth="1"/>
    <col min="6919" max="6919" width="14.6640625" style="774" bestFit="1" customWidth="1"/>
    <col min="6920" max="7161" width="9.33203125" style="774"/>
    <col min="7162" max="7162" width="22.5" style="774" customWidth="1"/>
    <col min="7163" max="7163" width="15.33203125" style="774" customWidth="1"/>
    <col min="7164" max="7164" width="16.5" style="774" customWidth="1"/>
    <col min="7165" max="7165" width="16.6640625" style="774" customWidth="1"/>
    <col min="7166" max="7166" width="38" style="774" customWidth="1"/>
    <col min="7167" max="7167" width="19.83203125" style="774" bestFit="1" customWidth="1"/>
    <col min="7168" max="7168" width="20" style="774" bestFit="1" customWidth="1"/>
    <col min="7169" max="7169" width="21.33203125" style="774" customWidth="1"/>
    <col min="7170" max="7170" width="17" style="774" bestFit="1" customWidth="1"/>
    <col min="7171" max="7171" width="13.1640625" style="774" bestFit="1" customWidth="1"/>
    <col min="7172" max="7172" width="17.83203125" style="774" customWidth="1"/>
    <col min="7173" max="7173" width="18.1640625" style="774" bestFit="1" customWidth="1"/>
    <col min="7174" max="7174" width="16" style="774" bestFit="1" customWidth="1"/>
    <col min="7175" max="7175" width="14.6640625" style="774" bestFit="1" customWidth="1"/>
    <col min="7176" max="7417" width="9.33203125" style="774"/>
    <col min="7418" max="7418" width="22.5" style="774" customWidth="1"/>
    <col min="7419" max="7419" width="15.33203125" style="774" customWidth="1"/>
    <col min="7420" max="7420" width="16.5" style="774" customWidth="1"/>
    <col min="7421" max="7421" width="16.6640625" style="774" customWidth="1"/>
    <col min="7422" max="7422" width="38" style="774" customWidth="1"/>
    <col min="7423" max="7423" width="19.83203125" style="774" bestFit="1" customWidth="1"/>
    <col min="7424" max="7424" width="20" style="774" bestFit="1" customWidth="1"/>
    <col min="7425" max="7425" width="21.33203125" style="774" customWidth="1"/>
    <col min="7426" max="7426" width="17" style="774" bestFit="1" customWidth="1"/>
    <col min="7427" max="7427" width="13.1640625" style="774" bestFit="1" customWidth="1"/>
    <col min="7428" max="7428" width="17.83203125" style="774" customWidth="1"/>
    <col min="7429" max="7429" width="18.1640625" style="774" bestFit="1" customWidth="1"/>
    <col min="7430" max="7430" width="16" style="774" bestFit="1" customWidth="1"/>
    <col min="7431" max="7431" width="14.6640625" style="774" bestFit="1" customWidth="1"/>
    <col min="7432" max="7673" width="9.33203125" style="774"/>
    <col min="7674" max="7674" width="22.5" style="774" customWidth="1"/>
    <col min="7675" max="7675" width="15.33203125" style="774" customWidth="1"/>
    <col min="7676" max="7676" width="16.5" style="774" customWidth="1"/>
    <col min="7677" max="7677" width="16.6640625" style="774" customWidth="1"/>
    <col min="7678" max="7678" width="38" style="774" customWidth="1"/>
    <col min="7679" max="7679" width="19.83203125" style="774" bestFit="1" customWidth="1"/>
    <col min="7680" max="7680" width="20" style="774" bestFit="1" customWidth="1"/>
    <col min="7681" max="7681" width="21.33203125" style="774" customWidth="1"/>
    <col min="7682" max="7682" width="17" style="774" bestFit="1" customWidth="1"/>
    <col min="7683" max="7683" width="13.1640625" style="774" bestFit="1" customWidth="1"/>
    <col min="7684" max="7684" width="17.83203125" style="774" customWidth="1"/>
    <col min="7685" max="7685" width="18.1640625" style="774" bestFit="1" customWidth="1"/>
    <col min="7686" max="7686" width="16" style="774" bestFit="1" customWidth="1"/>
    <col min="7687" max="7687" width="14.6640625" style="774" bestFit="1" customWidth="1"/>
    <col min="7688" max="7929" width="9.33203125" style="774"/>
    <col min="7930" max="7930" width="22.5" style="774" customWidth="1"/>
    <col min="7931" max="7931" width="15.33203125" style="774" customWidth="1"/>
    <col min="7932" max="7932" width="16.5" style="774" customWidth="1"/>
    <col min="7933" max="7933" width="16.6640625" style="774" customWidth="1"/>
    <col min="7934" max="7934" width="38" style="774" customWidth="1"/>
    <col min="7935" max="7935" width="19.83203125" style="774" bestFit="1" customWidth="1"/>
    <col min="7936" max="7936" width="20" style="774" bestFit="1" customWidth="1"/>
    <col min="7937" max="7937" width="21.33203125" style="774" customWidth="1"/>
    <col min="7938" max="7938" width="17" style="774" bestFit="1" customWidth="1"/>
    <col min="7939" max="7939" width="13.1640625" style="774" bestFit="1" customWidth="1"/>
    <col min="7940" max="7940" width="17.83203125" style="774" customWidth="1"/>
    <col min="7941" max="7941" width="18.1640625" style="774" bestFit="1" customWidth="1"/>
    <col min="7942" max="7942" width="16" style="774" bestFit="1" customWidth="1"/>
    <col min="7943" max="7943" width="14.6640625" style="774" bestFit="1" customWidth="1"/>
    <col min="7944" max="8185" width="9.33203125" style="774"/>
    <col min="8186" max="8186" width="22.5" style="774" customWidth="1"/>
    <col min="8187" max="8187" width="15.33203125" style="774" customWidth="1"/>
    <col min="8188" max="8188" width="16.5" style="774" customWidth="1"/>
    <col min="8189" max="8189" width="16.6640625" style="774" customWidth="1"/>
    <col min="8190" max="8190" width="38" style="774" customWidth="1"/>
    <col min="8191" max="8191" width="19.83203125" style="774" bestFit="1" customWidth="1"/>
    <col min="8192" max="8192" width="20" style="774" bestFit="1" customWidth="1"/>
    <col min="8193" max="8193" width="21.33203125" style="774" customWidth="1"/>
    <col min="8194" max="8194" width="17" style="774" bestFit="1" customWidth="1"/>
    <col min="8195" max="8195" width="13.1640625" style="774" bestFit="1" customWidth="1"/>
    <col min="8196" max="8196" width="17.83203125" style="774" customWidth="1"/>
    <col min="8197" max="8197" width="18.1640625" style="774" bestFit="1" customWidth="1"/>
    <col min="8198" max="8198" width="16" style="774" bestFit="1" customWidth="1"/>
    <col min="8199" max="8199" width="14.6640625" style="774" bestFit="1" customWidth="1"/>
    <col min="8200" max="8441" width="9.33203125" style="774"/>
    <col min="8442" max="8442" width="22.5" style="774" customWidth="1"/>
    <col min="8443" max="8443" width="15.33203125" style="774" customWidth="1"/>
    <col min="8444" max="8444" width="16.5" style="774" customWidth="1"/>
    <col min="8445" max="8445" width="16.6640625" style="774" customWidth="1"/>
    <col min="8446" max="8446" width="38" style="774" customWidth="1"/>
    <col min="8447" max="8447" width="19.83203125" style="774" bestFit="1" customWidth="1"/>
    <col min="8448" max="8448" width="20" style="774" bestFit="1" customWidth="1"/>
    <col min="8449" max="8449" width="21.33203125" style="774" customWidth="1"/>
    <col min="8450" max="8450" width="17" style="774" bestFit="1" customWidth="1"/>
    <col min="8451" max="8451" width="13.1640625" style="774" bestFit="1" customWidth="1"/>
    <col min="8452" max="8452" width="17.83203125" style="774" customWidth="1"/>
    <col min="8453" max="8453" width="18.1640625" style="774" bestFit="1" customWidth="1"/>
    <col min="8454" max="8454" width="16" style="774" bestFit="1" customWidth="1"/>
    <col min="8455" max="8455" width="14.6640625" style="774" bestFit="1" customWidth="1"/>
    <col min="8456" max="8697" width="9.33203125" style="774"/>
    <col min="8698" max="8698" width="22.5" style="774" customWidth="1"/>
    <col min="8699" max="8699" width="15.33203125" style="774" customWidth="1"/>
    <col min="8700" max="8700" width="16.5" style="774" customWidth="1"/>
    <col min="8701" max="8701" width="16.6640625" style="774" customWidth="1"/>
    <col min="8702" max="8702" width="38" style="774" customWidth="1"/>
    <col min="8703" max="8703" width="19.83203125" style="774" bestFit="1" customWidth="1"/>
    <col min="8704" max="8704" width="20" style="774" bestFit="1" customWidth="1"/>
    <col min="8705" max="8705" width="21.33203125" style="774" customWidth="1"/>
    <col min="8706" max="8706" width="17" style="774" bestFit="1" customWidth="1"/>
    <col min="8707" max="8707" width="13.1640625" style="774" bestFit="1" customWidth="1"/>
    <col min="8708" max="8708" width="17.83203125" style="774" customWidth="1"/>
    <col min="8709" max="8709" width="18.1640625" style="774" bestFit="1" customWidth="1"/>
    <col min="8710" max="8710" width="16" style="774" bestFit="1" customWidth="1"/>
    <col min="8711" max="8711" width="14.6640625" style="774" bestFit="1" customWidth="1"/>
    <col min="8712" max="8953" width="9.33203125" style="774"/>
    <col min="8954" max="8954" width="22.5" style="774" customWidth="1"/>
    <col min="8955" max="8955" width="15.33203125" style="774" customWidth="1"/>
    <col min="8956" max="8956" width="16.5" style="774" customWidth="1"/>
    <col min="8957" max="8957" width="16.6640625" style="774" customWidth="1"/>
    <col min="8958" max="8958" width="38" style="774" customWidth="1"/>
    <col min="8959" max="8959" width="19.83203125" style="774" bestFit="1" customWidth="1"/>
    <col min="8960" max="8960" width="20" style="774" bestFit="1" customWidth="1"/>
    <col min="8961" max="8961" width="21.33203125" style="774" customWidth="1"/>
    <col min="8962" max="8962" width="17" style="774" bestFit="1" customWidth="1"/>
    <col min="8963" max="8963" width="13.1640625" style="774" bestFit="1" customWidth="1"/>
    <col min="8964" max="8964" width="17.83203125" style="774" customWidth="1"/>
    <col min="8965" max="8965" width="18.1640625" style="774" bestFit="1" customWidth="1"/>
    <col min="8966" max="8966" width="16" style="774" bestFit="1" customWidth="1"/>
    <col min="8967" max="8967" width="14.6640625" style="774" bestFit="1" customWidth="1"/>
    <col min="8968" max="9209" width="9.33203125" style="774"/>
    <col min="9210" max="9210" width="22.5" style="774" customWidth="1"/>
    <col min="9211" max="9211" width="15.33203125" style="774" customWidth="1"/>
    <col min="9212" max="9212" width="16.5" style="774" customWidth="1"/>
    <col min="9213" max="9213" width="16.6640625" style="774" customWidth="1"/>
    <col min="9214" max="9214" width="38" style="774" customWidth="1"/>
    <col min="9215" max="9215" width="19.83203125" style="774" bestFit="1" customWidth="1"/>
    <col min="9216" max="9216" width="20" style="774" bestFit="1" customWidth="1"/>
    <col min="9217" max="9217" width="21.33203125" style="774" customWidth="1"/>
    <col min="9218" max="9218" width="17" style="774" bestFit="1" customWidth="1"/>
    <col min="9219" max="9219" width="13.1640625" style="774" bestFit="1" customWidth="1"/>
    <col min="9220" max="9220" width="17.83203125" style="774" customWidth="1"/>
    <col min="9221" max="9221" width="18.1640625" style="774" bestFit="1" customWidth="1"/>
    <col min="9222" max="9222" width="16" style="774" bestFit="1" customWidth="1"/>
    <col min="9223" max="9223" width="14.6640625" style="774" bestFit="1" customWidth="1"/>
    <col min="9224" max="9465" width="9.33203125" style="774"/>
    <col min="9466" max="9466" width="22.5" style="774" customWidth="1"/>
    <col min="9467" max="9467" width="15.33203125" style="774" customWidth="1"/>
    <col min="9468" max="9468" width="16.5" style="774" customWidth="1"/>
    <col min="9469" max="9469" width="16.6640625" style="774" customWidth="1"/>
    <col min="9470" max="9470" width="38" style="774" customWidth="1"/>
    <col min="9471" max="9471" width="19.83203125" style="774" bestFit="1" customWidth="1"/>
    <col min="9472" max="9472" width="20" style="774" bestFit="1" customWidth="1"/>
    <col min="9473" max="9473" width="21.33203125" style="774" customWidth="1"/>
    <col min="9474" max="9474" width="17" style="774" bestFit="1" customWidth="1"/>
    <col min="9475" max="9475" width="13.1640625" style="774" bestFit="1" customWidth="1"/>
    <col min="9476" max="9476" width="17.83203125" style="774" customWidth="1"/>
    <col min="9477" max="9477" width="18.1640625" style="774" bestFit="1" customWidth="1"/>
    <col min="9478" max="9478" width="16" style="774" bestFit="1" customWidth="1"/>
    <col min="9479" max="9479" width="14.6640625" style="774" bestFit="1" customWidth="1"/>
    <col min="9480" max="9721" width="9.33203125" style="774"/>
    <col min="9722" max="9722" width="22.5" style="774" customWidth="1"/>
    <col min="9723" max="9723" width="15.33203125" style="774" customWidth="1"/>
    <col min="9724" max="9724" width="16.5" style="774" customWidth="1"/>
    <col min="9725" max="9725" width="16.6640625" style="774" customWidth="1"/>
    <col min="9726" max="9726" width="38" style="774" customWidth="1"/>
    <col min="9727" max="9727" width="19.83203125" style="774" bestFit="1" customWidth="1"/>
    <col min="9728" max="9728" width="20" style="774" bestFit="1" customWidth="1"/>
    <col min="9729" max="9729" width="21.33203125" style="774" customWidth="1"/>
    <col min="9730" max="9730" width="17" style="774" bestFit="1" customWidth="1"/>
    <col min="9731" max="9731" width="13.1640625" style="774" bestFit="1" customWidth="1"/>
    <col min="9732" max="9732" width="17.83203125" style="774" customWidth="1"/>
    <col min="9733" max="9733" width="18.1640625" style="774" bestFit="1" customWidth="1"/>
    <col min="9734" max="9734" width="16" style="774" bestFit="1" customWidth="1"/>
    <col min="9735" max="9735" width="14.6640625" style="774" bestFit="1" customWidth="1"/>
    <col min="9736" max="9977" width="9.33203125" style="774"/>
    <col min="9978" max="9978" width="22.5" style="774" customWidth="1"/>
    <col min="9979" max="9979" width="15.33203125" style="774" customWidth="1"/>
    <col min="9980" max="9980" width="16.5" style="774" customWidth="1"/>
    <col min="9981" max="9981" width="16.6640625" style="774" customWidth="1"/>
    <col min="9982" max="9982" width="38" style="774" customWidth="1"/>
    <col min="9983" max="9983" width="19.83203125" style="774" bestFit="1" customWidth="1"/>
    <col min="9984" max="9984" width="20" style="774" bestFit="1" customWidth="1"/>
    <col min="9985" max="9985" width="21.33203125" style="774" customWidth="1"/>
    <col min="9986" max="9986" width="17" style="774" bestFit="1" customWidth="1"/>
    <col min="9987" max="9987" width="13.1640625" style="774" bestFit="1" customWidth="1"/>
    <col min="9988" max="9988" width="17.83203125" style="774" customWidth="1"/>
    <col min="9989" max="9989" width="18.1640625" style="774" bestFit="1" customWidth="1"/>
    <col min="9990" max="9990" width="16" style="774" bestFit="1" customWidth="1"/>
    <col min="9991" max="9991" width="14.6640625" style="774" bestFit="1" customWidth="1"/>
    <col min="9992" max="10233" width="9.33203125" style="774"/>
    <col min="10234" max="10234" width="22.5" style="774" customWidth="1"/>
    <col min="10235" max="10235" width="15.33203125" style="774" customWidth="1"/>
    <col min="10236" max="10236" width="16.5" style="774" customWidth="1"/>
    <col min="10237" max="10237" width="16.6640625" style="774" customWidth="1"/>
    <col min="10238" max="10238" width="38" style="774" customWidth="1"/>
    <col min="10239" max="10239" width="19.83203125" style="774" bestFit="1" customWidth="1"/>
    <col min="10240" max="10240" width="20" style="774" bestFit="1" customWidth="1"/>
    <col min="10241" max="10241" width="21.33203125" style="774" customWidth="1"/>
    <col min="10242" max="10242" width="17" style="774" bestFit="1" customWidth="1"/>
    <col min="10243" max="10243" width="13.1640625" style="774" bestFit="1" customWidth="1"/>
    <col min="10244" max="10244" width="17.83203125" style="774" customWidth="1"/>
    <col min="10245" max="10245" width="18.1640625" style="774" bestFit="1" customWidth="1"/>
    <col min="10246" max="10246" width="16" style="774" bestFit="1" customWidth="1"/>
    <col min="10247" max="10247" width="14.6640625" style="774" bestFit="1" customWidth="1"/>
    <col min="10248" max="10489" width="9.33203125" style="774"/>
    <col min="10490" max="10490" width="22.5" style="774" customWidth="1"/>
    <col min="10491" max="10491" width="15.33203125" style="774" customWidth="1"/>
    <col min="10492" max="10492" width="16.5" style="774" customWidth="1"/>
    <col min="10493" max="10493" width="16.6640625" style="774" customWidth="1"/>
    <col min="10494" max="10494" width="38" style="774" customWidth="1"/>
    <col min="10495" max="10495" width="19.83203125" style="774" bestFit="1" customWidth="1"/>
    <col min="10496" max="10496" width="20" style="774" bestFit="1" customWidth="1"/>
    <col min="10497" max="10497" width="21.33203125" style="774" customWidth="1"/>
    <col min="10498" max="10498" width="17" style="774" bestFit="1" customWidth="1"/>
    <col min="10499" max="10499" width="13.1640625" style="774" bestFit="1" customWidth="1"/>
    <col min="10500" max="10500" width="17.83203125" style="774" customWidth="1"/>
    <col min="10501" max="10501" width="18.1640625" style="774" bestFit="1" customWidth="1"/>
    <col min="10502" max="10502" width="16" style="774" bestFit="1" customWidth="1"/>
    <col min="10503" max="10503" width="14.6640625" style="774" bestFit="1" customWidth="1"/>
    <col min="10504" max="10745" width="9.33203125" style="774"/>
    <col min="10746" max="10746" width="22.5" style="774" customWidth="1"/>
    <col min="10747" max="10747" width="15.33203125" style="774" customWidth="1"/>
    <col min="10748" max="10748" width="16.5" style="774" customWidth="1"/>
    <col min="10749" max="10749" width="16.6640625" style="774" customWidth="1"/>
    <col min="10750" max="10750" width="38" style="774" customWidth="1"/>
    <col min="10751" max="10751" width="19.83203125" style="774" bestFit="1" customWidth="1"/>
    <col min="10752" max="10752" width="20" style="774" bestFit="1" customWidth="1"/>
    <col min="10753" max="10753" width="21.33203125" style="774" customWidth="1"/>
    <col min="10754" max="10754" width="17" style="774" bestFit="1" customWidth="1"/>
    <col min="10755" max="10755" width="13.1640625" style="774" bestFit="1" customWidth="1"/>
    <col min="10756" max="10756" width="17.83203125" style="774" customWidth="1"/>
    <col min="10757" max="10757" width="18.1640625" style="774" bestFit="1" customWidth="1"/>
    <col min="10758" max="10758" width="16" style="774" bestFit="1" customWidth="1"/>
    <col min="10759" max="10759" width="14.6640625" style="774" bestFit="1" customWidth="1"/>
    <col min="10760" max="11001" width="9.33203125" style="774"/>
    <col min="11002" max="11002" width="22.5" style="774" customWidth="1"/>
    <col min="11003" max="11003" width="15.33203125" style="774" customWidth="1"/>
    <col min="11004" max="11004" width="16.5" style="774" customWidth="1"/>
    <col min="11005" max="11005" width="16.6640625" style="774" customWidth="1"/>
    <col min="11006" max="11006" width="38" style="774" customWidth="1"/>
    <col min="11007" max="11007" width="19.83203125" style="774" bestFit="1" customWidth="1"/>
    <col min="11008" max="11008" width="20" style="774" bestFit="1" customWidth="1"/>
    <col min="11009" max="11009" width="21.33203125" style="774" customWidth="1"/>
    <col min="11010" max="11010" width="17" style="774" bestFit="1" customWidth="1"/>
    <col min="11011" max="11011" width="13.1640625" style="774" bestFit="1" customWidth="1"/>
    <col min="11012" max="11012" width="17.83203125" style="774" customWidth="1"/>
    <col min="11013" max="11013" width="18.1640625" style="774" bestFit="1" customWidth="1"/>
    <col min="11014" max="11014" width="16" style="774" bestFit="1" customWidth="1"/>
    <col min="11015" max="11015" width="14.6640625" style="774" bestFit="1" customWidth="1"/>
    <col min="11016" max="11257" width="9.33203125" style="774"/>
    <col min="11258" max="11258" width="22.5" style="774" customWidth="1"/>
    <col min="11259" max="11259" width="15.33203125" style="774" customWidth="1"/>
    <col min="11260" max="11260" width="16.5" style="774" customWidth="1"/>
    <col min="11261" max="11261" width="16.6640625" style="774" customWidth="1"/>
    <col min="11262" max="11262" width="38" style="774" customWidth="1"/>
    <col min="11263" max="11263" width="19.83203125" style="774" bestFit="1" customWidth="1"/>
    <col min="11264" max="11264" width="20" style="774" bestFit="1" customWidth="1"/>
    <col min="11265" max="11265" width="21.33203125" style="774" customWidth="1"/>
    <col min="11266" max="11266" width="17" style="774" bestFit="1" customWidth="1"/>
    <col min="11267" max="11267" width="13.1640625" style="774" bestFit="1" customWidth="1"/>
    <col min="11268" max="11268" width="17.83203125" style="774" customWidth="1"/>
    <col min="11269" max="11269" width="18.1640625" style="774" bestFit="1" customWidth="1"/>
    <col min="11270" max="11270" width="16" style="774" bestFit="1" customWidth="1"/>
    <col min="11271" max="11271" width="14.6640625" style="774" bestFit="1" customWidth="1"/>
    <col min="11272" max="11513" width="9.33203125" style="774"/>
    <col min="11514" max="11514" width="22.5" style="774" customWidth="1"/>
    <col min="11515" max="11515" width="15.33203125" style="774" customWidth="1"/>
    <col min="11516" max="11516" width="16.5" style="774" customWidth="1"/>
    <col min="11517" max="11517" width="16.6640625" style="774" customWidth="1"/>
    <col min="11518" max="11518" width="38" style="774" customWidth="1"/>
    <col min="11519" max="11519" width="19.83203125" style="774" bestFit="1" customWidth="1"/>
    <col min="11520" max="11520" width="20" style="774" bestFit="1" customWidth="1"/>
    <col min="11521" max="11521" width="21.33203125" style="774" customWidth="1"/>
    <col min="11522" max="11522" width="17" style="774" bestFit="1" customWidth="1"/>
    <col min="11523" max="11523" width="13.1640625" style="774" bestFit="1" customWidth="1"/>
    <col min="11524" max="11524" width="17.83203125" style="774" customWidth="1"/>
    <col min="11525" max="11525" width="18.1640625" style="774" bestFit="1" customWidth="1"/>
    <col min="11526" max="11526" width="16" style="774" bestFit="1" customWidth="1"/>
    <col min="11527" max="11527" width="14.6640625" style="774" bestFit="1" customWidth="1"/>
    <col min="11528" max="11769" width="9.33203125" style="774"/>
    <col min="11770" max="11770" width="22.5" style="774" customWidth="1"/>
    <col min="11771" max="11771" width="15.33203125" style="774" customWidth="1"/>
    <col min="11772" max="11772" width="16.5" style="774" customWidth="1"/>
    <col min="11773" max="11773" width="16.6640625" style="774" customWidth="1"/>
    <col min="11774" max="11774" width="38" style="774" customWidth="1"/>
    <col min="11775" max="11775" width="19.83203125" style="774" bestFit="1" customWidth="1"/>
    <col min="11776" max="11776" width="20" style="774" bestFit="1" customWidth="1"/>
    <col min="11777" max="11777" width="21.33203125" style="774" customWidth="1"/>
    <col min="11778" max="11778" width="17" style="774" bestFit="1" customWidth="1"/>
    <col min="11779" max="11779" width="13.1640625" style="774" bestFit="1" customWidth="1"/>
    <col min="11780" max="11780" width="17.83203125" style="774" customWidth="1"/>
    <col min="11781" max="11781" width="18.1640625" style="774" bestFit="1" customWidth="1"/>
    <col min="11782" max="11782" width="16" style="774" bestFit="1" customWidth="1"/>
    <col min="11783" max="11783" width="14.6640625" style="774" bestFit="1" customWidth="1"/>
    <col min="11784" max="12025" width="9.33203125" style="774"/>
    <col min="12026" max="12026" width="22.5" style="774" customWidth="1"/>
    <col min="12027" max="12027" width="15.33203125" style="774" customWidth="1"/>
    <col min="12028" max="12028" width="16.5" style="774" customWidth="1"/>
    <col min="12029" max="12029" width="16.6640625" style="774" customWidth="1"/>
    <col min="12030" max="12030" width="38" style="774" customWidth="1"/>
    <col min="12031" max="12031" width="19.83203125" style="774" bestFit="1" customWidth="1"/>
    <col min="12032" max="12032" width="20" style="774" bestFit="1" customWidth="1"/>
    <col min="12033" max="12033" width="21.33203125" style="774" customWidth="1"/>
    <col min="12034" max="12034" width="17" style="774" bestFit="1" customWidth="1"/>
    <col min="12035" max="12035" width="13.1640625" style="774" bestFit="1" customWidth="1"/>
    <col min="12036" max="12036" width="17.83203125" style="774" customWidth="1"/>
    <col min="12037" max="12037" width="18.1640625" style="774" bestFit="1" customWidth="1"/>
    <col min="12038" max="12038" width="16" style="774" bestFit="1" customWidth="1"/>
    <col min="12039" max="12039" width="14.6640625" style="774" bestFit="1" customWidth="1"/>
    <col min="12040" max="12281" width="9.33203125" style="774"/>
    <col min="12282" max="12282" width="22.5" style="774" customWidth="1"/>
    <col min="12283" max="12283" width="15.33203125" style="774" customWidth="1"/>
    <col min="12284" max="12284" width="16.5" style="774" customWidth="1"/>
    <col min="12285" max="12285" width="16.6640625" style="774" customWidth="1"/>
    <col min="12286" max="12286" width="38" style="774" customWidth="1"/>
    <col min="12287" max="12287" width="19.83203125" style="774" bestFit="1" customWidth="1"/>
    <col min="12288" max="12288" width="20" style="774" bestFit="1" customWidth="1"/>
    <col min="12289" max="12289" width="21.33203125" style="774" customWidth="1"/>
    <col min="12290" max="12290" width="17" style="774" bestFit="1" customWidth="1"/>
    <col min="12291" max="12291" width="13.1640625" style="774" bestFit="1" customWidth="1"/>
    <col min="12292" max="12292" width="17.83203125" style="774" customWidth="1"/>
    <col min="12293" max="12293" width="18.1640625" style="774" bestFit="1" customWidth="1"/>
    <col min="12294" max="12294" width="16" style="774" bestFit="1" customWidth="1"/>
    <col min="12295" max="12295" width="14.6640625" style="774" bestFit="1" customWidth="1"/>
    <col min="12296" max="12537" width="9.33203125" style="774"/>
    <col min="12538" max="12538" width="22.5" style="774" customWidth="1"/>
    <col min="12539" max="12539" width="15.33203125" style="774" customWidth="1"/>
    <col min="12540" max="12540" width="16.5" style="774" customWidth="1"/>
    <col min="12541" max="12541" width="16.6640625" style="774" customWidth="1"/>
    <col min="12542" max="12542" width="38" style="774" customWidth="1"/>
    <col min="12543" max="12543" width="19.83203125" style="774" bestFit="1" customWidth="1"/>
    <col min="12544" max="12544" width="20" style="774" bestFit="1" customWidth="1"/>
    <col min="12545" max="12545" width="21.33203125" style="774" customWidth="1"/>
    <col min="12546" max="12546" width="17" style="774" bestFit="1" customWidth="1"/>
    <col min="12547" max="12547" width="13.1640625" style="774" bestFit="1" customWidth="1"/>
    <col min="12548" max="12548" width="17.83203125" style="774" customWidth="1"/>
    <col min="12549" max="12549" width="18.1640625" style="774" bestFit="1" customWidth="1"/>
    <col min="12550" max="12550" width="16" style="774" bestFit="1" customWidth="1"/>
    <col min="12551" max="12551" width="14.6640625" style="774" bestFit="1" customWidth="1"/>
    <col min="12552" max="12793" width="9.33203125" style="774"/>
    <col min="12794" max="12794" width="22.5" style="774" customWidth="1"/>
    <col min="12795" max="12795" width="15.33203125" style="774" customWidth="1"/>
    <col min="12796" max="12796" width="16.5" style="774" customWidth="1"/>
    <col min="12797" max="12797" width="16.6640625" style="774" customWidth="1"/>
    <col min="12798" max="12798" width="38" style="774" customWidth="1"/>
    <col min="12799" max="12799" width="19.83203125" style="774" bestFit="1" customWidth="1"/>
    <col min="12800" max="12800" width="20" style="774" bestFit="1" customWidth="1"/>
    <col min="12801" max="12801" width="21.33203125" style="774" customWidth="1"/>
    <col min="12802" max="12802" width="17" style="774" bestFit="1" customWidth="1"/>
    <col min="12803" max="12803" width="13.1640625" style="774" bestFit="1" customWidth="1"/>
    <col min="12804" max="12804" width="17.83203125" style="774" customWidth="1"/>
    <col min="12805" max="12805" width="18.1640625" style="774" bestFit="1" customWidth="1"/>
    <col min="12806" max="12806" width="16" style="774" bestFit="1" customWidth="1"/>
    <col min="12807" max="12807" width="14.6640625" style="774" bestFit="1" customWidth="1"/>
    <col min="12808" max="13049" width="9.33203125" style="774"/>
    <col min="13050" max="13050" width="22.5" style="774" customWidth="1"/>
    <col min="13051" max="13051" width="15.33203125" style="774" customWidth="1"/>
    <col min="13052" max="13052" width="16.5" style="774" customWidth="1"/>
    <col min="13053" max="13053" width="16.6640625" style="774" customWidth="1"/>
    <col min="13054" max="13054" width="38" style="774" customWidth="1"/>
    <col min="13055" max="13055" width="19.83203125" style="774" bestFit="1" customWidth="1"/>
    <col min="13056" max="13056" width="20" style="774" bestFit="1" customWidth="1"/>
    <col min="13057" max="13057" width="21.33203125" style="774" customWidth="1"/>
    <col min="13058" max="13058" width="17" style="774" bestFit="1" customWidth="1"/>
    <col min="13059" max="13059" width="13.1640625" style="774" bestFit="1" customWidth="1"/>
    <col min="13060" max="13060" width="17.83203125" style="774" customWidth="1"/>
    <col min="13061" max="13061" width="18.1640625" style="774" bestFit="1" customWidth="1"/>
    <col min="13062" max="13062" width="16" style="774" bestFit="1" customWidth="1"/>
    <col min="13063" max="13063" width="14.6640625" style="774" bestFit="1" customWidth="1"/>
    <col min="13064" max="13305" width="9.33203125" style="774"/>
    <col min="13306" max="13306" width="22.5" style="774" customWidth="1"/>
    <col min="13307" max="13307" width="15.33203125" style="774" customWidth="1"/>
    <col min="13308" max="13308" width="16.5" style="774" customWidth="1"/>
    <col min="13309" max="13309" width="16.6640625" style="774" customWidth="1"/>
    <col min="13310" max="13310" width="38" style="774" customWidth="1"/>
    <col min="13311" max="13311" width="19.83203125" style="774" bestFit="1" customWidth="1"/>
    <col min="13312" max="13312" width="20" style="774" bestFit="1" customWidth="1"/>
    <col min="13313" max="13313" width="21.33203125" style="774" customWidth="1"/>
    <col min="13314" max="13314" width="17" style="774" bestFit="1" customWidth="1"/>
    <col min="13315" max="13315" width="13.1640625" style="774" bestFit="1" customWidth="1"/>
    <col min="13316" max="13316" width="17.83203125" style="774" customWidth="1"/>
    <col min="13317" max="13317" width="18.1640625" style="774" bestFit="1" customWidth="1"/>
    <col min="13318" max="13318" width="16" style="774" bestFit="1" customWidth="1"/>
    <col min="13319" max="13319" width="14.6640625" style="774" bestFit="1" customWidth="1"/>
    <col min="13320" max="13561" width="9.33203125" style="774"/>
    <col min="13562" max="13562" width="22.5" style="774" customWidth="1"/>
    <col min="13563" max="13563" width="15.33203125" style="774" customWidth="1"/>
    <col min="13564" max="13564" width="16.5" style="774" customWidth="1"/>
    <col min="13565" max="13565" width="16.6640625" style="774" customWidth="1"/>
    <col min="13566" max="13566" width="38" style="774" customWidth="1"/>
    <col min="13567" max="13567" width="19.83203125" style="774" bestFit="1" customWidth="1"/>
    <col min="13568" max="13568" width="20" style="774" bestFit="1" customWidth="1"/>
    <col min="13569" max="13569" width="21.33203125" style="774" customWidth="1"/>
    <col min="13570" max="13570" width="17" style="774" bestFit="1" customWidth="1"/>
    <col min="13571" max="13571" width="13.1640625" style="774" bestFit="1" customWidth="1"/>
    <col min="13572" max="13572" width="17.83203125" style="774" customWidth="1"/>
    <col min="13573" max="13573" width="18.1640625" style="774" bestFit="1" customWidth="1"/>
    <col min="13574" max="13574" width="16" style="774" bestFit="1" customWidth="1"/>
    <col min="13575" max="13575" width="14.6640625" style="774" bestFit="1" customWidth="1"/>
    <col min="13576" max="13817" width="9.33203125" style="774"/>
    <col min="13818" max="13818" width="22.5" style="774" customWidth="1"/>
    <col min="13819" max="13819" width="15.33203125" style="774" customWidth="1"/>
    <col min="13820" max="13820" width="16.5" style="774" customWidth="1"/>
    <col min="13821" max="13821" width="16.6640625" style="774" customWidth="1"/>
    <col min="13822" max="13822" width="38" style="774" customWidth="1"/>
    <col min="13823" max="13823" width="19.83203125" style="774" bestFit="1" customWidth="1"/>
    <col min="13824" max="13824" width="20" style="774" bestFit="1" customWidth="1"/>
    <col min="13825" max="13825" width="21.33203125" style="774" customWidth="1"/>
    <col min="13826" max="13826" width="17" style="774" bestFit="1" customWidth="1"/>
    <col min="13827" max="13827" width="13.1640625" style="774" bestFit="1" customWidth="1"/>
    <col min="13828" max="13828" width="17.83203125" style="774" customWidth="1"/>
    <col min="13829" max="13829" width="18.1640625" style="774" bestFit="1" customWidth="1"/>
    <col min="13830" max="13830" width="16" style="774" bestFit="1" customWidth="1"/>
    <col min="13831" max="13831" width="14.6640625" style="774" bestFit="1" customWidth="1"/>
    <col min="13832" max="14073" width="9.33203125" style="774"/>
    <col min="14074" max="14074" width="22.5" style="774" customWidth="1"/>
    <col min="14075" max="14075" width="15.33203125" style="774" customWidth="1"/>
    <col min="14076" max="14076" width="16.5" style="774" customWidth="1"/>
    <col min="14077" max="14077" width="16.6640625" style="774" customWidth="1"/>
    <col min="14078" max="14078" width="38" style="774" customWidth="1"/>
    <col min="14079" max="14079" width="19.83203125" style="774" bestFit="1" customWidth="1"/>
    <col min="14080" max="14080" width="20" style="774" bestFit="1" customWidth="1"/>
    <col min="14081" max="14081" width="21.33203125" style="774" customWidth="1"/>
    <col min="14082" max="14082" width="17" style="774" bestFit="1" customWidth="1"/>
    <col min="14083" max="14083" width="13.1640625" style="774" bestFit="1" customWidth="1"/>
    <col min="14084" max="14084" width="17.83203125" style="774" customWidth="1"/>
    <col min="14085" max="14085" width="18.1640625" style="774" bestFit="1" customWidth="1"/>
    <col min="14086" max="14086" width="16" style="774" bestFit="1" customWidth="1"/>
    <col min="14087" max="14087" width="14.6640625" style="774" bestFit="1" customWidth="1"/>
    <col min="14088" max="14329" width="9.33203125" style="774"/>
    <col min="14330" max="14330" width="22.5" style="774" customWidth="1"/>
    <col min="14331" max="14331" width="15.33203125" style="774" customWidth="1"/>
    <col min="14332" max="14332" width="16.5" style="774" customWidth="1"/>
    <col min="14333" max="14333" width="16.6640625" style="774" customWidth="1"/>
    <col min="14334" max="14334" width="38" style="774" customWidth="1"/>
    <col min="14335" max="14335" width="19.83203125" style="774" bestFit="1" customWidth="1"/>
    <col min="14336" max="14336" width="20" style="774" bestFit="1" customWidth="1"/>
    <col min="14337" max="14337" width="21.33203125" style="774" customWidth="1"/>
    <col min="14338" max="14338" width="17" style="774" bestFit="1" customWidth="1"/>
    <col min="14339" max="14339" width="13.1640625" style="774" bestFit="1" customWidth="1"/>
    <col min="14340" max="14340" width="17.83203125" style="774" customWidth="1"/>
    <col min="14341" max="14341" width="18.1640625" style="774" bestFit="1" customWidth="1"/>
    <col min="14342" max="14342" width="16" style="774" bestFit="1" customWidth="1"/>
    <col min="14343" max="14343" width="14.6640625" style="774" bestFit="1" customWidth="1"/>
    <col min="14344" max="14585" width="9.33203125" style="774"/>
    <col min="14586" max="14586" width="22.5" style="774" customWidth="1"/>
    <col min="14587" max="14587" width="15.33203125" style="774" customWidth="1"/>
    <col min="14588" max="14588" width="16.5" style="774" customWidth="1"/>
    <col min="14589" max="14589" width="16.6640625" style="774" customWidth="1"/>
    <col min="14590" max="14590" width="38" style="774" customWidth="1"/>
    <col min="14591" max="14591" width="19.83203125" style="774" bestFit="1" customWidth="1"/>
    <col min="14592" max="14592" width="20" style="774" bestFit="1" customWidth="1"/>
    <col min="14593" max="14593" width="21.33203125" style="774" customWidth="1"/>
    <col min="14594" max="14594" width="17" style="774" bestFit="1" customWidth="1"/>
    <col min="14595" max="14595" width="13.1640625" style="774" bestFit="1" customWidth="1"/>
    <col min="14596" max="14596" width="17.83203125" style="774" customWidth="1"/>
    <col min="14597" max="14597" width="18.1640625" style="774" bestFit="1" customWidth="1"/>
    <col min="14598" max="14598" width="16" style="774" bestFit="1" customWidth="1"/>
    <col min="14599" max="14599" width="14.6640625" style="774" bestFit="1" customWidth="1"/>
    <col min="14600" max="14841" width="9.33203125" style="774"/>
    <col min="14842" max="14842" width="22.5" style="774" customWidth="1"/>
    <col min="14843" max="14843" width="15.33203125" style="774" customWidth="1"/>
    <col min="14844" max="14844" width="16.5" style="774" customWidth="1"/>
    <col min="14845" max="14845" width="16.6640625" style="774" customWidth="1"/>
    <col min="14846" max="14846" width="38" style="774" customWidth="1"/>
    <col min="14847" max="14847" width="19.83203125" style="774" bestFit="1" customWidth="1"/>
    <col min="14848" max="14848" width="20" style="774" bestFit="1" customWidth="1"/>
    <col min="14849" max="14849" width="21.33203125" style="774" customWidth="1"/>
    <col min="14850" max="14850" width="17" style="774" bestFit="1" customWidth="1"/>
    <col min="14851" max="14851" width="13.1640625" style="774" bestFit="1" customWidth="1"/>
    <col min="14852" max="14852" width="17.83203125" style="774" customWidth="1"/>
    <col min="14853" max="14853" width="18.1640625" style="774" bestFit="1" customWidth="1"/>
    <col min="14854" max="14854" width="16" style="774" bestFit="1" customWidth="1"/>
    <col min="14855" max="14855" width="14.6640625" style="774" bestFit="1" customWidth="1"/>
    <col min="14856" max="15097" width="9.33203125" style="774"/>
    <col min="15098" max="15098" width="22.5" style="774" customWidth="1"/>
    <col min="15099" max="15099" width="15.33203125" style="774" customWidth="1"/>
    <col min="15100" max="15100" width="16.5" style="774" customWidth="1"/>
    <col min="15101" max="15101" width="16.6640625" style="774" customWidth="1"/>
    <col min="15102" max="15102" width="38" style="774" customWidth="1"/>
    <col min="15103" max="15103" width="19.83203125" style="774" bestFit="1" customWidth="1"/>
    <col min="15104" max="15104" width="20" style="774" bestFit="1" customWidth="1"/>
    <col min="15105" max="15105" width="21.33203125" style="774" customWidth="1"/>
    <col min="15106" max="15106" width="17" style="774" bestFit="1" customWidth="1"/>
    <col min="15107" max="15107" width="13.1640625" style="774" bestFit="1" customWidth="1"/>
    <col min="15108" max="15108" width="17.83203125" style="774" customWidth="1"/>
    <col min="15109" max="15109" width="18.1640625" style="774" bestFit="1" customWidth="1"/>
    <col min="15110" max="15110" width="16" style="774" bestFit="1" customWidth="1"/>
    <col min="15111" max="15111" width="14.6640625" style="774" bestFit="1" customWidth="1"/>
    <col min="15112" max="15353" width="9.33203125" style="774"/>
    <col min="15354" max="15354" width="22.5" style="774" customWidth="1"/>
    <col min="15355" max="15355" width="15.33203125" style="774" customWidth="1"/>
    <col min="15356" max="15356" width="16.5" style="774" customWidth="1"/>
    <col min="15357" max="15357" width="16.6640625" style="774" customWidth="1"/>
    <col min="15358" max="15358" width="38" style="774" customWidth="1"/>
    <col min="15359" max="15359" width="19.83203125" style="774" bestFit="1" customWidth="1"/>
    <col min="15360" max="15360" width="20" style="774" bestFit="1" customWidth="1"/>
    <col min="15361" max="15361" width="21.33203125" style="774" customWidth="1"/>
    <col min="15362" max="15362" width="17" style="774" bestFit="1" customWidth="1"/>
    <col min="15363" max="15363" width="13.1640625" style="774" bestFit="1" customWidth="1"/>
    <col min="15364" max="15364" width="17.83203125" style="774" customWidth="1"/>
    <col min="15365" max="15365" width="18.1640625" style="774" bestFit="1" customWidth="1"/>
    <col min="15366" max="15366" width="16" style="774" bestFit="1" customWidth="1"/>
    <col min="15367" max="15367" width="14.6640625" style="774" bestFit="1" customWidth="1"/>
    <col min="15368" max="15609" width="9.33203125" style="774"/>
    <col min="15610" max="15610" width="22.5" style="774" customWidth="1"/>
    <col min="15611" max="15611" width="15.33203125" style="774" customWidth="1"/>
    <col min="15612" max="15612" width="16.5" style="774" customWidth="1"/>
    <col min="15613" max="15613" width="16.6640625" style="774" customWidth="1"/>
    <col min="15614" max="15614" width="38" style="774" customWidth="1"/>
    <col min="15615" max="15615" width="19.83203125" style="774" bestFit="1" customWidth="1"/>
    <col min="15616" max="15616" width="20" style="774" bestFit="1" customWidth="1"/>
    <col min="15617" max="15617" width="21.33203125" style="774" customWidth="1"/>
    <col min="15618" max="15618" width="17" style="774" bestFit="1" customWidth="1"/>
    <col min="15619" max="15619" width="13.1640625" style="774" bestFit="1" customWidth="1"/>
    <col min="15620" max="15620" width="17.83203125" style="774" customWidth="1"/>
    <col min="15621" max="15621" width="18.1640625" style="774" bestFit="1" customWidth="1"/>
    <col min="15622" max="15622" width="16" style="774" bestFit="1" customWidth="1"/>
    <col min="15623" max="15623" width="14.6640625" style="774" bestFit="1" customWidth="1"/>
    <col min="15624" max="15865" width="9.33203125" style="774"/>
    <col min="15866" max="15866" width="22.5" style="774" customWidth="1"/>
    <col min="15867" max="15867" width="15.33203125" style="774" customWidth="1"/>
    <col min="15868" max="15868" width="16.5" style="774" customWidth="1"/>
    <col min="15869" max="15869" width="16.6640625" style="774" customWidth="1"/>
    <col min="15870" max="15870" width="38" style="774" customWidth="1"/>
    <col min="15871" max="15871" width="19.83203125" style="774" bestFit="1" customWidth="1"/>
    <col min="15872" max="15872" width="20" style="774" bestFit="1" customWidth="1"/>
    <col min="15873" max="15873" width="21.33203125" style="774" customWidth="1"/>
    <col min="15874" max="15874" width="17" style="774" bestFit="1" customWidth="1"/>
    <col min="15875" max="15875" width="13.1640625" style="774" bestFit="1" customWidth="1"/>
    <col min="15876" max="15876" width="17.83203125" style="774" customWidth="1"/>
    <col min="15877" max="15877" width="18.1640625" style="774" bestFit="1" customWidth="1"/>
    <col min="15878" max="15878" width="16" style="774" bestFit="1" customWidth="1"/>
    <col min="15879" max="15879" width="14.6640625" style="774" bestFit="1" customWidth="1"/>
    <col min="15880" max="16121" width="9.33203125" style="774"/>
    <col min="16122" max="16122" width="22.5" style="774" customWidth="1"/>
    <col min="16123" max="16123" width="15.33203125" style="774" customWidth="1"/>
    <col min="16124" max="16124" width="16.5" style="774" customWidth="1"/>
    <col min="16125" max="16125" width="16.6640625" style="774" customWidth="1"/>
    <col min="16126" max="16126" width="38" style="774" customWidth="1"/>
    <col min="16127" max="16127" width="19.83203125" style="774" bestFit="1" customWidth="1"/>
    <col min="16128" max="16128" width="20" style="774" bestFit="1" customWidth="1"/>
    <col min="16129" max="16129" width="21.33203125" style="774" customWidth="1"/>
    <col min="16130" max="16130" width="17" style="774" bestFit="1" customWidth="1"/>
    <col min="16131" max="16131" width="13.1640625" style="774" bestFit="1" customWidth="1"/>
    <col min="16132" max="16132" width="17.83203125" style="774" customWidth="1"/>
    <col min="16133" max="16133" width="18.1640625" style="774" bestFit="1" customWidth="1"/>
    <col min="16134" max="16134" width="16" style="774" bestFit="1" customWidth="1"/>
    <col min="16135" max="16135" width="14.6640625" style="774" bestFit="1" customWidth="1"/>
    <col min="16136" max="16384" width="9.33203125" style="774"/>
  </cols>
  <sheetData>
    <row r="1" spans="1:10" ht="15" x14ac:dyDescent="0.25">
      <c r="A1" s="2074" t="s">
        <v>593</v>
      </c>
      <c r="B1" s="2074"/>
      <c r="C1" s="2074"/>
      <c r="D1" s="2074"/>
      <c r="E1" s="2074"/>
      <c r="F1" s="2074"/>
      <c r="G1" s="2074"/>
      <c r="H1" s="2074"/>
      <c r="I1" s="2074"/>
      <c r="J1" s="2074"/>
    </row>
    <row r="2" spans="1:10" ht="15" x14ac:dyDescent="0.25">
      <c r="A2" s="2093" t="s">
        <v>1127</v>
      </c>
      <c r="B2" s="2094"/>
      <c r="C2" s="2094"/>
      <c r="D2" s="2094"/>
      <c r="E2" s="2094"/>
      <c r="F2" s="2094"/>
      <c r="G2" s="2094"/>
      <c r="H2" s="2094"/>
      <c r="I2" s="2094"/>
      <c r="J2" s="2094"/>
    </row>
    <row r="3" spans="1:10" ht="15" x14ac:dyDescent="0.25">
      <c r="A3" s="825"/>
      <c r="H3" s="826"/>
      <c r="I3" s="827"/>
      <c r="J3" s="825"/>
    </row>
    <row r="4" spans="1:10" ht="15.75" thickBot="1" x14ac:dyDescent="0.3">
      <c r="J4" s="680" t="s">
        <v>14</v>
      </c>
    </row>
    <row r="5" spans="1:10" ht="22.5" customHeight="1" x14ac:dyDescent="0.2">
      <c r="A5" s="2075" t="s">
        <v>28</v>
      </c>
      <c r="B5" s="2076"/>
      <c r="C5" s="2076"/>
      <c r="D5" s="2077"/>
      <c r="E5" s="2084" t="s">
        <v>1072</v>
      </c>
      <c r="F5" s="2087" t="s">
        <v>1073</v>
      </c>
      <c r="G5" s="2088"/>
      <c r="H5" s="829" t="s">
        <v>1074</v>
      </c>
      <c r="I5" s="830" t="s">
        <v>1075</v>
      </c>
      <c r="J5" s="2091" t="s">
        <v>1076</v>
      </c>
    </row>
    <row r="6" spans="1:10" ht="22.5" customHeight="1" x14ac:dyDescent="0.2">
      <c r="A6" s="2078"/>
      <c r="B6" s="2079"/>
      <c r="C6" s="2079"/>
      <c r="D6" s="2080"/>
      <c r="E6" s="2085"/>
      <c r="F6" s="2089"/>
      <c r="G6" s="2090"/>
      <c r="H6" s="831" t="s">
        <v>1077</v>
      </c>
      <c r="I6" s="832" t="s">
        <v>1078</v>
      </c>
      <c r="J6" s="2092"/>
    </row>
    <row r="7" spans="1:10" ht="29.25" customHeight="1" thickBot="1" x14ac:dyDescent="0.25">
      <c r="A7" s="2081"/>
      <c r="B7" s="2082"/>
      <c r="C7" s="2082"/>
      <c r="D7" s="2083"/>
      <c r="E7" s="2086"/>
      <c r="F7" s="833" t="s">
        <v>1079</v>
      </c>
      <c r="G7" s="834" t="s">
        <v>1124</v>
      </c>
      <c r="H7" s="835" t="s">
        <v>1080</v>
      </c>
      <c r="I7" s="836" t="s">
        <v>927</v>
      </c>
      <c r="J7" s="2092"/>
    </row>
    <row r="8" spans="1:10" ht="18" customHeight="1" x14ac:dyDescent="0.25">
      <c r="A8" s="837" t="s">
        <v>1081</v>
      </c>
      <c r="B8" s="838"/>
      <c r="C8" s="838"/>
      <c r="D8" s="839"/>
      <c r="E8" s="840">
        <f>((500+2500)*1000)/1000</f>
        <v>3000</v>
      </c>
      <c r="F8" s="841">
        <v>100</v>
      </c>
      <c r="G8" s="842">
        <f>3000000/1000</f>
        <v>3000</v>
      </c>
      <c r="H8" s="843">
        <v>0</v>
      </c>
      <c r="I8" s="844"/>
      <c r="J8" s="844">
        <f>G8-H8-I8</f>
        <v>3000</v>
      </c>
    </row>
    <row r="9" spans="1:10" ht="18" customHeight="1" x14ac:dyDescent="0.25">
      <c r="A9" s="837" t="s">
        <v>1082</v>
      </c>
      <c r="B9" s="838"/>
      <c r="C9" s="838"/>
      <c r="D9" s="839"/>
      <c r="E9" s="840">
        <f>((7537500-5992312.5-370845)*1000)/1000</f>
        <v>1174342.5</v>
      </c>
      <c r="F9" s="841">
        <v>52.85</v>
      </c>
      <c r="G9" s="842">
        <f>620644880/1000</f>
        <v>620644.88</v>
      </c>
      <c r="H9" s="843"/>
      <c r="I9" s="845"/>
      <c r="J9" s="845">
        <f t="shared" ref="J9:J26" si="0">G9-H9-I9</f>
        <v>620644.88</v>
      </c>
    </row>
    <row r="10" spans="1:10" ht="18" customHeight="1" x14ac:dyDescent="0.25">
      <c r="A10" s="846" t="s">
        <v>1125</v>
      </c>
      <c r="B10" s="838"/>
      <c r="C10" s="838"/>
      <c r="D10" s="839"/>
      <c r="E10" s="840">
        <f>(5000000+35630500+300000)/1000</f>
        <v>40930.5</v>
      </c>
      <c r="F10" s="841">
        <v>10.3</v>
      </c>
      <c r="G10" s="842">
        <f>((5000-150-1320+8670)*1000-9690000+3634311+100000)/1000</f>
        <v>6244.3109999999997</v>
      </c>
      <c r="H10" s="843">
        <v>0</v>
      </c>
      <c r="I10" s="845">
        <f>6244311/1000</f>
        <v>6244.3109999999997</v>
      </c>
      <c r="J10" s="845">
        <f t="shared" si="0"/>
        <v>0</v>
      </c>
    </row>
    <row r="11" spans="1:10" ht="18" customHeight="1" x14ac:dyDescent="0.25">
      <c r="A11" s="847" t="s">
        <v>1083</v>
      </c>
      <c r="B11" s="848"/>
      <c r="C11" s="848"/>
      <c r="D11" s="849"/>
      <c r="E11" s="850">
        <f>150000000/1000</f>
        <v>150000</v>
      </c>
      <c r="F11" s="851">
        <v>35</v>
      </c>
      <c r="G11" s="852">
        <f>69490000/1000</f>
        <v>69490</v>
      </c>
      <c r="H11" s="853"/>
      <c r="I11" s="854"/>
      <c r="J11" s="845">
        <f t="shared" si="0"/>
        <v>69490</v>
      </c>
    </row>
    <row r="12" spans="1:10" ht="18" customHeight="1" x14ac:dyDescent="0.25">
      <c r="A12" s="847" t="s">
        <v>1084</v>
      </c>
      <c r="B12" s="848"/>
      <c r="C12" s="848"/>
      <c r="D12" s="848"/>
      <c r="E12" s="840">
        <f>((10000-9500+25000)*1000)/1000</f>
        <v>25500</v>
      </c>
      <c r="F12" s="851">
        <v>100</v>
      </c>
      <c r="G12" s="852">
        <f>((500+25000)*1000)/1000</f>
        <v>25500</v>
      </c>
      <c r="H12" s="843">
        <v>0</v>
      </c>
      <c r="I12" s="854"/>
      <c r="J12" s="845">
        <f t="shared" si="0"/>
        <v>25500</v>
      </c>
    </row>
    <row r="13" spans="1:10" ht="18" customHeight="1" x14ac:dyDescent="0.25">
      <c r="A13" s="847" t="s">
        <v>1085</v>
      </c>
      <c r="B13" s="848"/>
      <c r="C13" s="848"/>
      <c r="D13" s="848"/>
      <c r="E13" s="840">
        <f>3000000/1000</f>
        <v>3000</v>
      </c>
      <c r="F13" s="851">
        <v>100</v>
      </c>
      <c r="G13" s="852">
        <f>102627000/1000</f>
        <v>102627</v>
      </c>
      <c r="H13" s="855"/>
      <c r="I13" s="854"/>
      <c r="J13" s="845">
        <f t="shared" si="0"/>
        <v>102627</v>
      </c>
    </row>
    <row r="14" spans="1:10" ht="18" customHeight="1" x14ac:dyDescent="0.25">
      <c r="A14" s="847" t="s">
        <v>1126</v>
      </c>
      <c r="B14" s="848"/>
      <c r="C14" s="848"/>
      <c r="D14" s="848"/>
      <c r="E14" s="840">
        <f>3000000/1000</f>
        <v>3000</v>
      </c>
      <c r="F14" s="851">
        <v>100</v>
      </c>
      <c r="G14" s="852">
        <f>3000000/1000</f>
        <v>3000</v>
      </c>
      <c r="H14" s="855"/>
      <c r="I14" s="854"/>
      <c r="J14" s="856">
        <f t="shared" si="0"/>
        <v>3000</v>
      </c>
    </row>
    <row r="15" spans="1:10" ht="18" customHeight="1" x14ac:dyDescent="0.25">
      <c r="A15" s="857" t="s">
        <v>1086</v>
      </c>
      <c r="B15" s="838"/>
      <c r="C15" s="838"/>
      <c r="D15" s="838"/>
      <c r="E15" s="840"/>
      <c r="F15" s="841"/>
      <c r="G15" s="858">
        <f>SUM(G8:G14)</f>
        <v>830506.19099999999</v>
      </c>
      <c r="H15" s="859">
        <f>SUM(H8:H14)</f>
        <v>0</v>
      </c>
      <c r="I15" s="860">
        <f>SUM(I8:I14)</f>
        <v>6244.3109999999997</v>
      </c>
      <c r="J15" s="861">
        <f>SUM(J8:J14)</f>
        <v>824261.88</v>
      </c>
    </row>
    <row r="16" spans="1:10" ht="18" customHeight="1" x14ac:dyDescent="0.25">
      <c r="A16" s="862" t="s">
        <v>1087</v>
      </c>
      <c r="B16" s="863"/>
      <c r="C16" s="863"/>
      <c r="D16" s="864"/>
      <c r="E16" s="865">
        <f>((1794000+335200+258800+275390+1815700+98800+202918+232000+90000)*1000)/1000</f>
        <v>5102808</v>
      </c>
      <c r="F16" s="866">
        <v>100</v>
      </c>
      <c r="G16" s="867">
        <f>((2133575+389433+258800+275390+1815700+98800+202918+232000+90000)*1000-115)/1000</f>
        <v>5496615.8849999998</v>
      </c>
      <c r="H16" s="868">
        <v>0</v>
      </c>
      <c r="I16" s="869"/>
      <c r="J16" s="845">
        <f t="shared" si="0"/>
        <v>5496615.8849999998</v>
      </c>
    </row>
    <row r="17" spans="1:10" ht="18" customHeight="1" x14ac:dyDescent="0.25">
      <c r="A17" s="846" t="s">
        <v>1088</v>
      </c>
      <c r="B17" s="838"/>
      <c r="C17" s="838"/>
      <c r="D17" s="839"/>
      <c r="E17" s="840">
        <f>((3000+17000)*1000)/1000</f>
        <v>20000</v>
      </c>
      <c r="F17" s="841">
        <v>100</v>
      </c>
      <c r="G17" s="842">
        <f>((3000+17000)*1000)/1000</f>
        <v>20000</v>
      </c>
      <c r="H17" s="843"/>
      <c r="I17" s="845"/>
      <c r="J17" s="845">
        <f t="shared" si="0"/>
        <v>20000</v>
      </c>
    </row>
    <row r="18" spans="1:10" ht="18" customHeight="1" x14ac:dyDescent="0.25">
      <c r="A18" s="837" t="s">
        <v>1089</v>
      </c>
      <c r="B18" s="838"/>
      <c r="C18" s="838"/>
      <c r="D18" s="839"/>
      <c r="E18" s="840">
        <f>4700000/1000</f>
        <v>4700</v>
      </c>
      <c r="F18" s="841">
        <v>100</v>
      </c>
      <c r="G18" s="842">
        <f>(4700000+45017000)/1000</f>
        <v>49717</v>
      </c>
      <c r="H18" s="843">
        <v>0</v>
      </c>
      <c r="I18" s="845"/>
      <c r="J18" s="845">
        <f t="shared" si="0"/>
        <v>49717</v>
      </c>
    </row>
    <row r="19" spans="1:10" ht="18" customHeight="1" x14ac:dyDescent="0.25">
      <c r="A19" s="837" t="s">
        <v>1090</v>
      </c>
      <c r="B19" s="838"/>
      <c r="C19" s="838"/>
      <c r="D19" s="839"/>
      <c r="E19" s="840">
        <f>3000000/1000</f>
        <v>3000</v>
      </c>
      <c r="F19" s="841">
        <v>100</v>
      </c>
      <c r="G19" s="842">
        <f>3000000/1000</f>
        <v>3000</v>
      </c>
      <c r="H19" s="843"/>
      <c r="I19" s="845"/>
      <c r="J19" s="845">
        <f t="shared" si="0"/>
        <v>3000</v>
      </c>
    </row>
    <row r="20" spans="1:10" ht="18" customHeight="1" x14ac:dyDescent="0.25">
      <c r="A20" s="837" t="s">
        <v>1091</v>
      </c>
      <c r="B20" s="838"/>
      <c r="C20" s="838"/>
      <c r="D20" s="839"/>
      <c r="E20" s="840">
        <f>15000000/1000</f>
        <v>15000</v>
      </c>
      <c r="F20" s="841">
        <v>100</v>
      </c>
      <c r="G20" s="842">
        <f>15000000/1000</f>
        <v>15000</v>
      </c>
      <c r="H20" s="843"/>
      <c r="I20" s="845"/>
      <c r="J20" s="845">
        <f t="shared" si="0"/>
        <v>15000</v>
      </c>
    </row>
    <row r="21" spans="1:10" ht="18" customHeight="1" x14ac:dyDescent="0.25">
      <c r="A21" s="847" t="s">
        <v>1092</v>
      </c>
      <c r="B21" s="848"/>
      <c r="C21" s="848"/>
      <c r="D21" s="848"/>
      <c r="E21" s="840">
        <f>((500+2500)*1000)/1000</f>
        <v>3000</v>
      </c>
      <c r="F21" s="851">
        <v>100</v>
      </c>
      <c r="G21" s="852">
        <f>((2500+500)*1000)/1000</f>
        <v>3000</v>
      </c>
      <c r="H21" s="843"/>
      <c r="I21" s="854"/>
      <c r="J21" s="845">
        <f t="shared" si="0"/>
        <v>3000</v>
      </c>
    </row>
    <row r="22" spans="1:10" ht="18" customHeight="1" x14ac:dyDescent="0.25">
      <c r="A22" s="847" t="s">
        <v>1093</v>
      </c>
      <c r="B22" s="848"/>
      <c r="C22" s="848"/>
      <c r="D22" s="848"/>
      <c r="E22" s="840">
        <f>3000000/1000</f>
        <v>3000</v>
      </c>
      <c r="F22" s="851">
        <v>85</v>
      </c>
      <c r="G22" s="852">
        <f>((1700+850)*1000)/1000</f>
        <v>2550</v>
      </c>
      <c r="H22" s="855"/>
      <c r="I22" s="854"/>
      <c r="J22" s="845">
        <f t="shared" si="0"/>
        <v>2550</v>
      </c>
    </row>
    <row r="23" spans="1:10" ht="18" customHeight="1" x14ac:dyDescent="0.25">
      <c r="A23" s="870" t="s">
        <v>1094</v>
      </c>
      <c r="B23" s="838"/>
      <c r="C23" s="838"/>
      <c r="D23" s="838"/>
      <c r="E23" s="840"/>
      <c r="F23" s="871"/>
      <c r="G23" s="858">
        <f>SUM(G16:G22)</f>
        <v>5589882.8849999998</v>
      </c>
      <c r="H23" s="859">
        <f>SUM(H16:H22)</f>
        <v>0</v>
      </c>
      <c r="I23" s="860">
        <f>SUM(I16:I22)</f>
        <v>0</v>
      </c>
      <c r="J23" s="861">
        <f>SUM(J16:J22)</f>
        <v>5589882.8849999998</v>
      </c>
    </row>
    <row r="24" spans="1:10" ht="18" customHeight="1" x14ac:dyDescent="0.25">
      <c r="A24" s="847" t="s">
        <v>1095</v>
      </c>
      <c r="B24" s="848"/>
      <c r="C24" s="848"/>
      <c r="D24" s="848"/>
      <c r="E24" s="850">
        <f>728840000/1000</f>
        <v>728840</v>
      </c>
      <c r="F24" s="851">
        <v>3.51</v>
      </c>
      <c r="G24" s="852">
        <f>25570000/1000</f>
        <v>25570</v>
      </c>
      <c r="H24" s="853"/>
      <c r="I24" s="854"/>
      <c r="J24" s="845">
        <f t="shared" si="0"/>
        <v>25570</v>
      </c>
    </row>
    <row r="25" spans="1:10" ht="18" customHeight="1" x14ac:dyDescent="0.25">
      <c r="A25" s="847" t="s">
        <v>1096</v>
      </c>
      <c r="B25" s="848"/>
      <c r="C25" s="848"/>
      <c r="D25" s="849"/>
      <c r="E25" s="850">
        <f>13473446000/1000</f>
        <v>13473446</v>
      </c>
      <c r="F25" s="851">
        <v>0.11</v>
      </c>
      <c r="G25" s="852">
        <f>14590000/1000</f>
        <v>14590</v>
      </c>
      <c r="H25" s="853"/>
      <c r="I25" s="854"/>
      <c r="J25" s="845">
        <f t="shared" si="0"/>
        <v>14590</v>
      </c>
    </row>
    <row r="26" spans="1:10" ht="18" customHeight="1" x14ac:dyDescent="0.25">
      <c r="A26" s="847" t="s">
        <v>1097</v>
      </c>
      <c r="B26" s="848"/>
      <c r="C26" s="848"/>
      <c r="D26" s="849"/>
      <c r="E26" s="850">
        <f>9000001000/1000</f>
        <v>9000001</v>
      </c>
      <c r="F26" s="872">
        <v>3.7999999999999999E-2</v>
      </c>
      <c r="G26" s="852">
        <f>3462000/1000</f>
        <v>3462</v>
      </c>
      <c r="H26" s="853"/>
      <c r="I26" s="854"/>
      <c r="J26" s="845">
        <f t="shared" si="0"/>
        <v>3462</v>
      </c>
    </row>
    <row r="27" spans="1:10" ht="18" customHeight="1" thickBot="1" x14ac:dyDescent="0.3">
      <c r="A27" s="873" t="s">
        <v>1098</v>
      </c>
      <c r="B27" s="874"/>
      <c r="C27" s="874"/>
      <c r="D27" s="874"/>
      <c r="E27" s="1227"/>
      <c r="F27" s="1228"/>
      <c r="G27" s="875">
        <f>SUM(G24:G26)</f>
        <v>43622</v>
      </c>
      <c r="H27" s="876">
        <f>SUM(H24:H26)</f>
        <v>0</v>
      </c>
      <c r="I27" s="877">
        <f>SUM(I24:I26)</f>
        <v>0</v>
      </c>
      <c r="J27" s="878">
        <f>SUM(J24:J26)</f>
        <v>43622</v>
      </c>
    </row>
    <row r="28" spans="1:10" ht="21" customHeight="1" thickBot="1" x14ac:dyDescent="0.3">
      <c r="A28" s="879" t="s">
        <v>657</v>
      </c>
      <c r="B28" s="880"/>
      <c r="C28" s="880"/>
      <c r="D28" s="880"/>
      <c r="E28" s="1229"/>
      <c r="F28" s="1230"/>
      <c r="G28" s="881">
        <f>G15+G23+G27</f>
        <v>6464011.0759999994</v>
      </c>
      <c r="H28" s="882">
        <f>H15+H23+H27</f>
        <v>0</v>
      </c>
      <c r="I28" s="883">
        <f>I15+I23+I27</f>
        <v>6244.3109999999997</v>
      </c>
      <c r="J28" s="884">
        <f>J15+J23+J27</f>
        <v>6457766.7649999997</v>
      </c>
    </row>
    <row r="29" spans="1:10" x14ac:dyDescent="0.2">
      <c r="H29" s="775"/>
      <c r="J29" s="828"/>
    </row>
    <row r="30" spans="1:10" x14ac:dyDescent="0.2">
      <c r="H30" s="775"/>
    </row>
    <row r="31" spans="1:10" x14ac:dyDescent="0.2">
      <c r="D31" s="775"/>
      <c r="E31" s="775"/>
      <c r="F31" s="775"/>
    </row>
    <row r="32" spans="1:10" x14ac:dyDescent="0.2">
      <c r="D32" s="775"/>
      <c r="E32" s="775"/>
      <c r="F32" s="775"/>
    </row>
    <row r="33" spans="4:6" x14ac:dyDescent="0.2">
      <c r="D33" s="775"/>
      <c r="E33" s="775"/>
      <c r="F33" s="775"/>
    </row>
    <row r="34" spans="4:6" x14ac:dyDescent="0.2">
      <c r="D34" s="775"/>
      <c r="E34" s="775"/>
      <c r="F34" s="775"/>
    </row>
    <row r="35" spans="4:6" x14ac:dyDescent="0.2">
      <c r="D35" s="775"/>
      <c r="E35" s="775"/>
      <c r="F35" s="775"/>
    </row>
    <row r="36" spans="4:6" x14ac:dyDescent="0.2">
      <c r="D36" s="775"/>
      <c r="E36" s="775"/>
      <c r="F36" s="775"/>
    </row>
  </sheetData>
  <mergeCells count="6">
    <mergeCell ref="A1:J1"/>
    <mergeCell ref="A5:D7"/>
    <mergeCell ref="E5:E7"/>
    <mergeCell ref="F5:G6"/>
    <mergeCell ref="J5:J7"/>
    <mergeCell ref="A2:J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&amp;R&amp;"-,Félkövér"&amp;10 29. melléklet a .../2025.(........)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6"/>
  <sheetViews>
    <sheetView zoomScaleNormal="100" zoomScaleSheetLayoutView="75" workbookViewId="0">
      <selection activeCell="E8" sqref="E8"/>
    </sheetView>
  </sheetViews>
  <sheetFormatPr defaultColWidth="9.33203125" defaultRowHeight="21" customHeight="1" x14ac:dyDescent="0.3"/>
  <cols>
    <col min="1" max="1" width="5" style="35" customWidth="1"/>
    <col min="2" max="2" width="5.6640625" style="35" customWidth="1"/>
    <col min="3" max="3" width="3.6640625" style="35" customWidth="1"/>
    <col min="4" max="4" width="2.33203125" style="35" customWidth="1"/>
    <col min="5" max="5" width="100.6640625" style="35" customWidth="1"/>
    <col min="6" max="6" width="23.5" style="35" customWidth="1"/>
    <col min="7" max="7" width="22.6640625" style="35" customWidth="1"/>
    <col min="8" max="8" width="25.33203125" style="35" customWidth="1"/>
    <col min="9" max="9" width="22.83203125" style="35" customWidth="1"/>
    <col min="10" max="10" width="25.5" style="37" bestFit="1" customWidth="1"/>
    <col min="11" max="11" width="37.83203125" style="34" customWidth="1"/>
    <col min="12" max="12" width="24.1640625" style="34" customWidth="1"/>
    <col min="13" max="13" width="10.1640625" style="34" bestFit="1" customWidth="1"/>
    <col min="14" max="14" width="9.33203125" style="1"/>
    <col min="15" max="15" width="16.83203125" style="1" bestFit="1" customWidth="1"/>
    <col min="16" max="16384" width="9.33203125" style="1"/>
  </cols>
  <sheetData>
    <row r="1" spans="1:13" ht="21" customHeight="1" x14ac:dyDescent="0.3">
      <c r="A1" s="1886"/>
      <c r="B1" s="1886"/>
      <c r="C1" s="1886"/>
      <c r="D1" s="1886"/>
      <c r="E1" s="1886"/>
    </row>
    <row r="2" spans="1:13" ht="24.75" customHeight="1" x14ac:dyDescent="0.3">
      <c r="A2" s="1890" t="s">
        <v>206</v>
      </c>
      <c r="B2" s="1890"/>
      <c r="C2" s="1890"/>
      <c r="D2" s="1890"/>
      <c r="E2" s="1890"/>
      <c r="F2" s="1890"/>
      <c r="G2" s="1890"/>
      <c r="H2" s="1890"/>
      <c r="I2" s="1890"/>
    </row>
    <row r="3" spans="1:13" ht="24.75" customHeight="1" x14ac:dyDescent="0.3">
      <c r="A3" s="60"/>
      <c r="B3" s="60"/>
      <c r="C3" s="60"/>
      <c r="D3" s="60"/>
      <c r="E3" s="60"/>
      <c r="F3" s="61"/>
      <c r="G3" s="61"/>
      <c r="H3" s="61"/>
      <c r="I3" s="61"/>
    </row>
    <row r="4" spans="1:13" ht="24.75" customHeight="1" thickBot="1" x14ac:dyDescent="0.35">
      <c r="A4" s="61"/>
      <c r="B4" s="62"/>
      <c r="C4" s="62"/>
      <c r="D4" s="62"/>
      <c r="E4" s="63"/>
      <c r="F4" s="61"/>
      <c r="G4" s="61"/>
      <c r="H4" s="61"/>
      <c r="I4" s="65" t="s">
        <v>14</v>
      </c>
    </row>
    <row r="5" spans="1:13" ht="19.5" customHeight="1" thickBot="1" x14ac:dyDescent="0.35">
      <c r="A5" s="66"/>
      <c r="B5" s="67"/>
      <c r="C5" s="67"/>
      <c r="D5" s="67"/>
      <c r="E5" s="1862" t="s">
        <v>28</v>
      </c>
      <c r="F5" s="1889" t="s">
        <v>496</v>
      </c>
      <c r="G5" s="1889"/>
      <c r="H5" s="113" t="s">
        <v>272</v>
      </c>
      <c r="I5" s="134" t="s">
        <v>83</v>
      </c>
    </row>
    <row r="6" spans="1:13" ht="19.5" customHeight="1" thickBot="1" x14ac:dyDescent="0.35">
      <c r="A6" s="68"/>
      <c r="B6" s="69"/>
      <c r="C6" s="69"/>
      <c r="D6" s="69"/>
      <c r="E6" s="70"/>
      <c r="F6" s="310" t="s">
        <v>169</v>
      </c>
      <c r="G6" s="310" t="s">
        <v>81</v>
      </c>
      <c r="H6" s="216" t="s">
        <v>82</v>
      </c>
      <c r="I6" s="135" t="s">
        <v>84</v>
      </c>
    </row>
    <row r="7" spans="1:13" ht="19.5" customHeight="1" x14ac:dyDescent="0.3">
      <c r="A7" s="1331" t="s">
        <v>209</v>
      </c>
      <c r="B7" s="1332"/>
      <c r="C7" s="1332"/>
      <c r="D7" s="1332"/>
      <c r="E7" s="1333"/>
      <c r="F7" s="136"/>
      <c r="G7" s="137"/>
      <c r="H7" s="137"/>
      <c r="I7" s="138"/>
    </row>
    <row r="8" spans="1:13" s="16" customFormat="1" ht="19.5" customHeight="1" x14ac:dyDescent="0.3">
      <c r="A8" s="1334"/>
      <c r="B8" s="1335" t="s">
        <v>249</v>
      </c>
      <c r="C8" s="1335"/>
      <c r="D8" s="1335"/>
      <c r="E8" s="1336"/>
      <c r="F8" s="139">
        <v>1738126</v>
      </c>
      <c r="G8" s="139">
        <v>1738126</v>
      </c>
      <c r="H8" s="141">
        <v>1738126</v>
      </c>
      <c r="I8" s="354">
        <f>+H8/G8*100</f>
        <v>100</v>
      </c>
      <c r="J8" s="44"/>
      <c r="K8" s="45"/>
      <c r="L8" s="44"/>
      <c r="M8" s="38"/>
    </row>
    <row r="9" spans="1:13" s="16" customFormat="1" ht="19.5" customHeight="1" x14ac:dyDescent="0.3">
      <c r="A9" s="1334"/>
      <c r="B9" s="1337" t="s">
        <v>250</v>
      </c>
      <c r="C9" s="1337"/>
      <c r="D9" s="1337"/>
      <c r="E9" s="1338"/>
      <c r="F9" s="143">
        <v>2945488</v>
      </c>
      <c r="G9" s="143">
        <v>2951739</v>
      </c>
      <c r="H9" s="145">
        <v>2951739</v>
      </c>
      <c r="I9" s="146">
        <f>+H9/G9*100</f>
        <v>100</v>
      </c>
      <c r="J9" s="44"/>
      <c r="K9" s="45"/>
      <c r="L9" s="44"/>
      <c r="M9" s="38"/>
    </row>
    <row r="10" spans="1:13" s="16" customFormat="1" ht="32.25" customHeight="1" x14ac:dyDescent="0.3">
      <c r="A10" s="1334"/>
      <c r="B10" s="1887" t="s">
        <v>345</v>
      </c>
      <c r="C10" s="1887"/>
      <c r="D10" s="1887"/>
      <c r="E10" s="1888"/>
      <c r="F10" s="139">
        <v>1841900</v>
      </c>
      <c r="G10" s="139">
        <v>1859396</v>
      </c>
      <c r="H10" s="141">
        <v>1859396</v>
      </c>
      <c r="I10" s="146">
        <f t="shared" ref="I10:I11" si="0">+H10/G10*100</f>
        <v>100</v>
      </c>
      <c r="J10" s="44"/>
      <c r="K10" s="45"/>
      <c r="L10" s="45"/>
      <c r="M10" s="38"/>
    </row>
    <row r="11" spans="1:13" s="16" customFormat="1" ht="19.5" customHeight="1" x14ac:dyDescent="0.3">
      <c r="A11" s="1334"/>
      <c r="B11" s="1337" t="s">
        <v>346</v>
      </c>
      <c r="C11" s="1337"/>
      <c r="D11" s="1337"/>
      <c r="E11" s="1338"/>
      <c r="F11" s="143">
        <v>729940</v>
      </c>
      <c r="G11" s="143">
        <v>819450</v>
      </c>
      <c r="H11" s="145">
        <v>819450</v>
      </c>
      <c r="I11" s="142">
        <f t="shared" si="0"/>
        <v>100</v>
      </c>
      <c r="J11" s="44"/>
      <c r="K11" s="45"/>
      <c r="L11" s="44"/>
      <c r="M11" s="38"/>
    </row>
    <row r="12" spans="1:13" s="16" customFormat="1" ht="19.5" customHeight="1" x14ac:dyDescent="0.3">
      <c r="A12" s="1334"/>
      <c r="B12" s="1339" t="s">
        <v>347</v>
      </c>
      <c r="C12" s="1340"/>
      <c r="D12" s="1340"/>
      <c r="E12" s="1340"/>
      <c r="F12" s="147">
        <f>SUM(F13:F14)</f>
        <v>214650</v>
      </c>
      <c r="G12" s="331">
        <v>214651</v>
      </c>
      <c r="H12" s="147">
        <f t="shared" ref="H12" si="1">SUM(H13:H14)</f>
        <v>214651</v>
      </c>
      <c r="I12" s="802">
        <f>+H12/G12*100</f>
        <v>100</v>
      </c>
      <c r="J12" s="44"/>
      <c r="K12" s="40"/>
      <c r="L12" s="40"/>
      <c r="M12" s="38"/>
    </row>
    <row r="13" spans="1:13" ht="19.5" customHeight="1" x14ac:dyDescent="0.3">
      <c r="A13" s="423"/>
      <c r="B13" s="422"/>
      <c r="C13" s="1341" t="s">
        <v>188</v>
      </c>
      <c r="D13" s="1342"/>
      <c r="E13" s="1343"/>
      <c r="F13" s="148">
        <v>71937</v>
      </c>
      <c r="G13" s="148">
        <v>71937</v>
      </c>
      <c r="H13" s="149">
        <v>71937</v>
      </c>
      <c r="I13" s="150">
        <f>+H13/G13*100</f>
        <v>100</v>
      </c>
      <c r="J13" s="44"/>
      <c r="K13" s="40"/>
      <c r="L13" s="39"/>
    </row>
    <row r="14" spans="1:13" ht="19.5" customHeight="1" x14ac:dyDescent="0.3">
      <c r="A14" s="423"/>
      <c r="B14" s="422"/>
      <c r="C14" s="1341" t="s">
        <v>187</v>
      </c>
      <c r="D14" s="1342"/>
      <c r="E14" s="1343"/>
      <c r="F14" s="148">
        <v>142713</v>
      </c>
      <c r="G14" s="148">
        <v>142714</v>
      </c>
      <c r="H14" s="149">
        <v>142714</v>
      </c>
      <c r="I14" s="150">
        <f t="shared" ref="I14" si="2">+H14/G14*100</f>
        <v>100</v>
      </c>
      <c r="J14" s="44"/>
      <c r="K14" s="40"/>
      <c r="L14" s="39"/>
    </row>
    <row r="15" spans="1:13" s="16" customFormat="1" ht="19.5" customHeight="1" x14ac:dyDescent="0.3">
      <c r="A15" s="1334"/>
      <c r="B15" s="1337" t="s">
        <v>352</v>
      </c>
      <c r="C15" s="1344"/>
      <c r="D15" s="1345"/>
      <c r="E15" s="1346"/>
      <c r="F15" s="143">
        <f>+F8+F9+F10+F11+F12</f>
        <v>7470104</v>
      </c>
      <c r="G15" s="144">
        <f>+G8+G9+G10+G11+G12</f>
        <v>7583362</v>
      </c>
      <c r="H15" s="144">
        <f>+H8+H9+H10+H11+H12</f>
        <v>7583362</v>
      </c>
      <c r="I15" s="146">
        <f>+H15/G15*100</f>
        <v>100</v>
      </c>
      <c r="J15" s="44"/>
      <c r="K15" s="40"/>
      <c r="L15" s="40"/>
      <c r="M15" s="38"/>
    </row>
    <row r="16" spans="1:13" s="16" customFormat="1" ht="19.5" customHeight="1" x14ac:dyDescent="0.3">
      <c r="A16" s="1334"/>
      <c r="B16" s="1339" t="s">
        <v>353</v>
      </c>
      <c r="C16" s="1335"/>
      <c r="D16" s="1335"/>
      <c r="E16" s="1347"/>
      <c r="F16" s="139"/>
      <c r="G16" s="140"/>
      <c r="H16" s="140"/>
      <c r="I16" s="142"/>
      <c r="J16" s="44"/>
      <c r="K16" s="40"/>
      <c r="L16" s="40"/>
      <c r="M16" s="38"/>
    </row>
    <row r="17" spans="1:13" ht="19.5" customHeight="1" x14ac:dyDescent="0.3">
      <c r="A17" s="423"/>
      <c r="B17" s="422"/>
      <c r="C17" s="1348" t="s">
        <v>363</v>
      </c>
      <c r="D17" s="1342"/>
      <c r="E17" s="1343"/>
      <c r="F17" s="148"/>
      <c r="G17" s="149">
        <v>5712</v>
      </c>
      <c r="H17" s="149">
        <v>5712</v>
      </c>
      <c r="I17" s="150">
        <f t="shared" ref="I17:I63" si="3">+H17/G17*100</f>
        <v>100</v>
      </c>
      <c r="J17" s="44"/>
      <c r="K17" s="40"/>
      <c r="L17" s="40"/>
    </row>
    <row r="18" spans="1:13" ht="19.5" customHeight="1" x14ac:dyDescent="0.3">
      <c r="A18" s="423"/>
      <c r="B18" s="422"/>
      <c r="C18" s="1349" t="s">
        <v>251</v>
      </c>
      <c r="D18" s="1350"/>
      <c r="E18" s="1351"/>
      <c r="F18" s="148"/>
      <c r="G18" s="149">
        <v>240166</v>
      </c>
      <c r="H18" s="149">
        <v>240166</v>
      </c>
      <c r="I18" s="150">
        <f t="shared" si="3"/>
        <v>100</v>
      </c>
      <c r="J18" s="44"/>
      <c r="K18" s="40"/>
      <c r="L18" s="40"/>
    </row>
    <row r="19" spans="1:13" s="4" customFormat="1" ht="19.5" customHeight="1" x14ac:dyDescent="0.3">
      <c r="A19" s="424"/>
      <c r="B19" s="1337" t="s">
        <v>355</v>
      </c>
      <c r="C19" s="1352"/>
      <c r="D19" s="1353"/>
      <c r="E19" s="1354"/>
      <c r="F19" s="155">
        <f>SUM(F17:F18)</f>
        <v>0</v>
      </c>
      <c r="G19" s="145">
        <f>SUM(G17:G18)</f>
        <v>245878</v>
      </c>
      <c r="H19" s="145">
        <f>SUM(H17:H18)</f>
        <v>245878</v>
      </c>
      <c r="I19" s="146">
        <f t="shared" si="3"/>
        <v>100</v>
      </c>
      <c r="J19" s="44"/>
      <c r="K19" s="45"/>
      <c r="L19" s="45"/>
      <c r="M19" s="42"/>
    </row>
    <row r="20" spans="1:13" s="4" customFormat="1" ht="19.5" customHeight="1" x14ac:dyDescent="0.3">
      <c r="A20" s="424"/>
      <c r="B20" s="1339" t="s">
        <v>370</v>
      </c>
      <c r="C20" s="1355"/>
      <c r="D20" s="1356"/>
      <c r="E20" s="1357"/>
      <c r="F20" s="156"/>
      <c r="G20" s="176"/>
      <c r="H20" s="156"/>
      <c r="I20" s="157"/>
      <c r="J20" s="44"/>
      <c r="K20" s="45"/>
      <c r="L20" s="45"/>
      <c r="M20" s="42"/>
    </row>
    <row r="21" spans="1:13" ht="19.5" customHeight="1" x14ac:dyDescent="0.3">
      <c r="A21" s="423"/>
      <c r="B21" s="422"/>
      <c r="C21" s="1342" t="s">
        <v>348</v>
      </c>
      <c r="D21" s="1342"/>
      <c r="E21" s="1343"/>
      <c r="F21" s="151">
        <v>318266</v>
      </c>
      <c r="G21" s="151">
        <v>318266</v>
      </c>
      <c r="H21" s="152">
        <v>318266</v>
      </c>
      <c r="I21" s="153">
        <f t="shared" si="3"/>
        <v>100</v>
      </c>
      <c r="J21" s="44"/>
      <c r="K21" s="40"/>
      <c r="L21" s="39"/>
    </row>
    <row r="22" spans="1:13" ht="37.5" customHeight="1" x14ac:dyDescent="0.3">
      <c r="A22" s="423"/>
      <c r="B22" s="422"/>
      <c r="C22" s="1891" t="s">
        <v>186</v>
      </c>
      <c r="D22" s="1891"/>
      <c r="E22" s="1892"/>
      <c r="F22" s="152">
        <v>230670</v>
      </c>
      <c r="G22" s="158">
        <v>230670</v>
      </c>
      <c r="H22" s="149">
        <v>230670</v>
      </c>
      <c r="I22" s="153">
        <f t="shared" si="3"/>
        <v>100</v>
      </c>
      <c r="J22" s="44"/>
      <c r="K22" s="40"/>
      <c r="L22" s="39"/>
    </row>
    <row r="23" spans="1:13" ht="37.5" customHeight="1" x14ac:dyDescent="0.3">
      <c r="A23" s="423"/>
      <c r="B23" s="422"/>
      <c r="C23" s="1891" t="s">
        <v>354</v>
      </c>
      <c r="D23" s="1891"/>
      <c r="E23" s="1892"/>
      <c r="F23" s="149">
        <v>188000</v>
      </c>
      <c r="G23" s="158">
        <v>188000</v>
      </c>
      <c r="H23" s="149">
        <v>188000</v>
      </c>
      <c r="I23" s="153">
        <f t="shared" si="3"/>
        <v>100</v>
      </c>
      <c r="J23" s="44"/>
      <c r="K23" s="40"/>
      <c r="L23" s="39"/>
    </row>
    <row r="24" spans="1:13" ht="37.5" customHeight="1" x14ac:dyDescent="0.3">
      <c r="A24" s="423"/>
      <c r="B24" s="422"/>
      <c r="C24" s="1891" t="s">
        <v>580</v>
      </c>
      <c r="D24" s="1891"/>
      <c r="E24" s="1892"/>
      <c r="F24" s="151">
        <v>116318</v>
      </c>
      <c r="G24" s="151">
        <v>116318</v>
      </c>
      <c r="H24" s="151">
        <v>116318</v>
      </c>
      <c r="I24" s="153">
        <f t="shared" si="3"/>
        <v>100</v>
      </c>
      <c r="J24" s="44"/>
      <c r="K24" s="40"/>
      <c r="L24" s="39"/>
    </row>
    <row r="25" spans="1:13" ht="55.5" customHeight="1" x14ac:dyDescent="0.3">
      <c r="A25" s="423"/>
      <c r="B25" s="422"/>
      <c r="C25" s="1891" t="s">
        <v>545</v>
      </c>
      <c r="D25" s="1891"/>
      <c r="E25" s="1892"/>
      <c r="F25" s="151">
        <v>37389</v>
      </c>
      <c r="G25" s="151">
        <v>41020</v>
      </c>
      <c r="H25" s="151">
        <v>41020</v>
      </c>
      <c r="I25" s="153">
        <f t="shared" si="3"/>
        <v>100</v>
      </c>
      <c r="J25" s="44"/>
      <c r="K25" s="40"/>
      <c r="L25" s="39"/>
    </row>
    <row r="26" spans="1:13" s="4" customFormat="1" ht="19.5" customHeight="1" x14ac:dyDescent="0.3">
      <c r="A26" s="424"/>
      <c r="B26" s="1339" t="s">
        <v>371</v>
      </c>
      <c r="C26" s="1355"/>
      <c r="D26" s="1356"/>
      <c r="E26" s="1357"/>
      <c r="F26" s="156">
        <f>SUM(F21:F25)</f>
        <v>890643</v>
      </c>
      <c r="G26" s="176">
        <f>SUM(G21:G25)</f>
        <v>894274</v>
      </c>
      <c r="H26" s="176">
        <f>SUM(H21:H25)</f>
        <v>894274</v>
      </c>
      <c r="I26" s="157">
        <f t="shared" si="3"/>
        <v>100</v>
      </c>
      <c r="J26" s="44"/>
      <c r="K26" s="45"/>
      <c r="L26" s="45"/>
      <c r="M26" s="42"/>
    </row>
    <row r="27" spans="1:13" s="16" customFormat="1" ht="19.5" customHeight="1" x14ac:dyDescent="0.3">
      <c r="A27" s="1334"/>
      <c r="B27" s="1337" t="s">
        <v>116</v>
      </c>
      <c r="C27" s="1337"/>
      <c r="D27" s="1337"/>
      <c r="E27" s="1338"/>
      <c r="F27" s="143"/>
      <c r="G27" s="144"/>
      <c r="H27" s="144"/>
      <c r="I27" s="146"/>
      <c r="J27" s="44"/>
      <c r="K27" s="40"/>
      <c r="L27" s="40"/>
      <c r="M27" s="38"/>
    </row>
    <row r="28" spans="1:13" ht="37.5" customHeight="1" x14ac:dyDescent="0.3">
      <c r="A28" s="423"/>
      <c r="B28" s="422"/>
      <c r="C28" s="1891" t="s">
        <v>393</v>
      </c>
      <c r="D28" s="1891"/>
      <c r="E28" s="1892"/>
      <c r="F28" s="158"/>
      <c r="G28" s="149">
        <v>14555</v>
      </c>
      <c r="H28" s="149">
        <v>14555</v>
      </c>
      <c r="I28" s="150">
        <f t="shared" si="3"/>
        <v>100</v>
      </c>
      <c r="J28" s="44"/>
      <c r="K28" s="40"/>
      <c r="L28" s="39"/>
    </row>
    <row r="29" spans="1:13" ht="19.5" customHeight="1" x14ac:dyDescent="0.3">
      <c r="A29" s="423"/>
      <c r="B29" s="422"/>
      <c r="C29" s="1358" t="s">
        <v>275</v>
      </c>
      <c r="D29" s="1358"/>
      <c r="E29" s="1359"/>
      <c r="F29" s="159"/>
      <c r="G29" s="160">
        <v>63915</v>
      </c>
      <c r="H29" s="159">
        <v>63915</v>
      </c>
      <c r="I29" s="150">
        <f t="shared" si="3"/>
        <v>100</v>
      </c>
      <c r="J29" s="44"/>
      <c r="K29" s="40"/>
      <c r="L29" s="40"/>
    </row>
    <row r="30" spans="1:13" s="16" customFormat="1" ht="19.5" customHeight="1" x14ac:dyDescent="0.3">
      <c r="A30" s="1334"/>
      <c r="B30" s="1360" t="s">
        <v>231</v>
      </c>
      <c r="C30" s="1360"/>
      <c r="D30" s="1360"/>
      <c r="E30" s="1361"/>
      <c r="F30" s="337">
        <f>SUM(F28:F29)</f>
        <v>0</v>
      </c>
      <c r="G30" s="338">
        <f>SUM(G28:G29)</f>
        <v>78470</v>
      </c>
      <c r="H30" s="338">
        <f>SUM(H28:H29)</f>
        <v>78470</v>
      </c>
      <c r="I30" s="221">
        <f t="shared" si="3"/>
        <v>100</v>
      </c>
      <c r="J30" s="44"/>
      <c r="K30" s="40"/>
      <c r="L30" s="40"/>
      <c r="M30" s="38"/>
    </row>
    <row r="31" spans="1:13" s="16" customFormat="1" ht="19.5" customHeight="1" x14ac:dyDescent="0.3">
      <c r="A31" s="71"/>
      <c r="B31" s="339" t="s">
        <v>451</v>
      </c>
      <c r="C31" s="339"/>
      <c r="D31" s="339"/>
      <c r="E31" s="339"/>
      <c r="F31" s="340">
        <f>+F15+F19+F26+F30</f>
        <v>8360747</v>
      </c>
      <c r="G31" s="340">
        <f>+G15+G19+G26+G30</f>
        <v>8801984</v>
      </c>
      <c r="H31" s="340">
        <f>+H15+H19+H26+H30</f>
        <v>8801984</v>
      </c>
      <c r="I31" s="146">
        <f t="shared" si="3"/>
        <v>100</v>
      </c>
      <c r="J31" s="44"/>
      <c r="K31" s="40"/>
      <c r="L31" s="40"/>
      <c r="M31" s="38"/>
    </row>
    <row r="32" spans="1:13" s="11" customFormat="1" ht="19.5" customHeight="1" x14ac:dyDescent="0.3">
      <c r="A32" s="424"/>
      <c r="B32" s="1335" t="s">
        <v>117</v>
      </c>
      <c r="C32" s="1362"/>
      <c r="D32" s="1363"/>
      <c r="E32" s="1364"/>
      <c r="F32" s="161"/>
      <c r="G32" s="141"/>
      <c r="H32" s="141"/>
      <c r="I32" s="142"/>
      <c r="J32" s="44"/>
      <c r="K32" s="40"/>
      <c r="L32" s="40"/>
      <c r="M32" s="41"/>
    </row>
    <row r="33" spans="1:13" ht="19.5" customHeight="1" x14ac:dyDescent="0.3">
      <c r="A33" s="423"/>
      <c r="B33" s="1365" t="s">
        <v>247</v>
      </c>
      <c r="C33" s="1365"/>
      <c r="D33" s="1365"/>
      <c r="E33" s="1366"/>
      <c r="F33" s="162"/>
      <c r="G33" s="163">
        <v>18797</v>
      </c>
      <c r="H33" s="163">
        <v>18797</v>
      </c>
      <c r="I33" s="150">
        <f t="shared" si="3"/>
        <v>100</v>
      </c>
      <c r="J33" s="44"/>
      <c r="K33" s="40"/>
      <c r="L33" s="39"/>
    </row>
    <row r="34" spans="1:13" s="4" customFormat="1" ht="19.5" customHeight="1" thickBot="1" x14ac:dyDescent="0.35">
      <c r="A34" s="424"/>
      <c r="B34" s="1367" t="s">
        <v>232</v>
      </c>
      <c r="C34" s="1368"/>
      <c r="D34" s="1368"/>
      <c r="E34" s="1369"/>
      <c r="F34" s="164">
        <f>SUM(F33)</f>
        <v>0</v>
      </c>
      <c r="G34" s="165">
        <f t="shared" ref="G34:H34" si="4">SUM(G33)</f>
        <v>18797</v>
      </c>
      <c r="H34" s="164">
        <f t="shared" si="4"/>
        <v>18797</v>
      </c>
      <c r="I34" s="166">
        <f t="shared" si="3"/>
        <v>100</v>
      </c>
      <c r="J34" s="44"/>
      <c r="K34" s="45"/>
      <c r="L34" s="44"/>
      <c r="M34" s="42"/>
    </row>
    <row r="35" spans="1:13" s="4" customFormat="1" ht="23.25" customHeight="1" thickBot="1" x14ac:dyDescent="0.35">
      <c r="A35" s="424" t="s">
        <v>233</v>
      </c>
      <c r="B35" s="1370" t="s">
        <v>93</v>
      </c>
      <c r="C35" s="1370"/>
      <c r="D35" s="1370"/>
      <c r="E35" s="1371"/>
      <c r="F35" s="173">
        <f>+F31+F34</f>
        <v>8360747</v>
      </c>
      <c r="G35" s="173">
        <f>+G31+G34</f>
        <v>8820781</v>
      </c>
      <c r="H35" s="173">
        <f>+H31+H34</f>
        <v>8820781</v>
      </c>
      <c r="I35" s="356">
        <f t="shared" si="3"/>
        <v>100</v>
      </c>
      <c r="J35" s="44"/>
      <c r="K35" s="45"/>
      <c r="L35" s="44"/>
      <c r="M35" s="42"/>
    </row>
    <row r="36" spans="1:13" ht="19.5" customHeight="1" thickBot="1" x14ac:dyDescent="0.35">
      <c r="A36" s="423"/>
      <c r="B36" s="1372" t="s">
        <v>235</v>
      </c>
      <c r="C36" s="1373"/>
      <c r="D36" s="1373"/>
      <c r="E36" s="1374"/>
      <c r="F36" s="168"/>
      <c r="G36" s="169"/>
      <c r="H36" s="170"/>
      <c r="I36" s="171"/>
      <c r="J36" s="44"/>
      <c r="K36" s="40"/>
      <c r="L36" s="39"/>
    </row>
    <row r="37" spans="1:13" s="4" customFormat="1" ht="24" customHeight="1" thickBot="1" x14ac:dyDescent="0.35">
      <c r="A37" s="424" t="s">
        <v>234</v>
      </c>
      <c r="B37" s="1375" t="s">
        <v>105</v>
      </c>
      <c r="C37" s="1370"/>
      <c r="D37" s="1370"/>
      <c r="E37" s="1371"/>
      <c r="F37" s="172">
        <f>SUM(F36)</f>
        <v>0</v>
      </c>
      <c r="G37" s="173">
        <f t="shared" ref="G37:H37" si="5">SUM(G36)</f>
        <v>0</v>
      </c>
      <c r="H37" s="172">
        <f t="shared" si="5"/>
        <v>0</v>
      </c>
      <c r="I37" s="167"/>
      <c r="J37" s="44"/>
      <c r="K37" s="45"/>
      <c r="L37" s="44"/>
      <c r="M37" s="42"/>
    </row>
    <row r="38" spans="1:13" ht="19.5" customHeight="1" x14ac:dyDescent="0.3">
      <c r="A38" s="423"/>
      <c r="B38" s="1339"/>
      <c r="C38" s="1376" t="s">
        <v>303</v>
      </c>
      <c r="D38" s="1377"/>
      <c r="E38" s="1378"/>
      <c r="F38" s="151"/>
      <c r="G38" s="152">
        <v>1676</v>
      </c>
      <c r="H38" s="152">
        <v>1676</v>
      </c>
      <c r="I38" s="174">
        <f t="shared" si="3"/>
        <v>100</v>
      </c>
      <c r="J38" s="44"/>
      <c r="K38" s="40"/>
      <c r="L38" s="40"/>
    </row>
    <row r="39" spans="1:13" ht="19.5" customHeight="1" x14ac:dyDescent="0.3">
      <c r="A39" s="423"/>
      <c r="B39" s="1339"/>
      <c r="C39" s="1376" t="s">
        <v>331</v>
      </c>
      <c r="D39" s="1379"/>
      <c r="E39" s="1378"/>
      <c r="F39" s="151"/>
      <c r="G39" s="152">
        <v>13906</v>
      </c>
      <c r="H39" s="149">
        <v>13906</v>
      </c>
      <c r="I39" s="174">
        <f t="shared" si="3"/>
        <v>100</v>
      </c>
      <c r="J39" s="44"/>
      <c r="K39" s="40"/>
      <c r="L39" s="40"/>
    </row>
    <row r="40" spans="1:13" ht="19.5" customHeight="1" x14ac:dyDescent="0.3">
      <c r="A40" s="423"/>
      <c r="B40" s="1339"/>
      <c r="C40" s="1341" t="s">
        <v>329</v>
      </c>
      <c r="D40" s="1379"/>
      <c r="E40" s="1378"/>
      <c r="F40" s="151">
        <v>302075</v>
      </c>
      <c r="G40" s="151">
        <v>302075</v>
      </c>
      <c r="H40" s="149">
        <v>302075</v>
      </c>
      <c r="I40" s="174">
        <f t="shared" si="3"/>
        <v>100</v>
      </c>
      <c r="J40" s="44"/>
      <c r="K40" s="40"/>
      <c r="L40" s="40"/>
    </row>
    <row r="41" spans="1:13" ht="19.5" customHeight="1" x14ac:dyDescent="0.3">
      <c r="A41" s="423"/>
      <c r="B41" s="1339"/>
      <c r="C41" s="1341" t="s">
        <v>330</v>
      </c>
      <c r="D41" s="1379"/>
      <c r="E41" s="1378"/>
      <c r="F41" s="151">
        <v>53000</v>
      </c>
      <c r="G41" s="151">
        <v>53000</v>
      </c>
      <c r="H41" s="149">
        <v>53000</v>
      </c>
      <c r="I41" s="174">
        <f t="shared" si="3"/>
        <v>100</v>
      </c>
      <c r="J41" s="44"/>
      <c r="K41" s="40"/>
      <c r="L41" s="40"/>
    </row>
    <row r="42" spans="1:13" ht="19.5" customHeight="1" x14ac:dyDescent="0.3">
      <c r="A42" s="423"/>
      <c r="B42" s="1339"/>
      <c r="C42" s="1341" t="s">
        <v>581</v>
      </c>
      <c r="D42" s="1379"/>
      <c r="E42" s="1378"/>
      <c r="F42" s="151"/>
      <c r="G42" s="151">
        <v>1000</v>
      </c>
      <c r="H42" s="149">
        <v>1000</v>
      </c>
      <c r="I42" s="174">
        <f t="shared" si="3"/>
        <v>100</v>
      </c>
      <c r="J42" s="44"/>
      <c r="K42" s="40"/>
      <c r="L42" s="40"/>
    </row>
    <row r="43" spans="1:13" ht="19.5" customHeight="1" x14ac:dyDescent="0.3">
      <c r="A43" s="423"/>
      <c r="B43" s="1339"/>
      <c r="C43" s="1341" t="s">
        <v>582</v>
      </c>
      <c r="D43" s="1379"/>
      <c r="E43" s="1378"/>
      <c r="F43" s="151"/>
      <c r="G43" s="151">
        <v>8545</v>
      </c>
      <c r="H43" s="152">
        <v>8545</v>
      </c>
      <c r="I43" s="174">
        <f t="shared" si="3"/>
        <v>100</v>
      </c>
      <c r="J43" s="44"/>
      <c r="K43" s="40"/>
      <c r="L43" s="40"/>
    </row>
    <row r="44" spans="1:13" ht="36.75" customHeight="1" x14ac:dyDescent="0.3">
      <c r="A44" s="423"/>
      <c r="B44" s="422"/>
      <c r="C44" s="1893" t="s">
        <v>546</v>
      </c>
      <c r="D44" s="1893"/>
      <c r="E44" s="1894"/>
      <c r="F44" s="344"/>
      <c r="G44" s="152">
        <v>23860</v>
      </c>
      <c r="H44" s="344">
        <v>23860</v>
      </c>
      <c r="I44" s="153">
        <f t="shared" si="3"/>
        <v>100</v>
      </c>
      <c r="J44" s="44"/>
      <c r="K44" s="40"/>
      <c r="L44" s="40"/>
    </row>
    <row r="45" spans="1:13" ht="40.5" customHeight="1" x14ac:dyDescent="0.3">
      <c r="A45" s="423"/>
      <c r="B45" s="422"/>
      <c r="C45" s="1891" t="s">
        <v>562</v>
      </c>
      <c r="D45" s="1891"/>
      <c r="E45" s="1892"/>
      <c r="F45" s="344"/>
      <c r="G45" s="152">
        <v>2000</v>
      </c>
      <c r="H45" s="344">
        <v>2000</v>
      </c>
      <c r="I45" s="153">
        <f t="shared" si="3"/>
        <v>100</v>
      </c>
      <c r="J45" s="44"/>
      <c r="K45" s="40"/>
      <c r="L45" s="40"/>
    </row>
    <row r="46" spans="1:13" ht="20.25" x14ac:dyDescent="0.3">
      <c r="A46" s="423"/>
      <c r="B46" s="422"/>
      <c r="C46" s="1893" t="s">
        <v>418</v>
      </c>
      <c r="D46" s="1893"/>
      <c r="E46" s="1894"/>
      <c r="F46" s="344"/>
      <c r="G46" s="152"/>
      <c r="H46" s="316"/>
      <c r="I46" s="153"/>
      <c r="J46" s="44"/>
      <c r="K46" s="40"/>
      <c r="L46" s="40"/>
    </row>
    <row r="47" spans="1:13" ht="20.25" x14ac:dyDescent="0.3">
      <c r="A47" s="423"/>
      <c r="B47" s="422"/>
      <c r="C47" s="1380"/>
      <c r="D47" s="1380"/>
      <c r="E47" s="1381" t="s">
        <v>500</v>
      </c>
      <c r="F47" s="803">
        <v>500000</v>
      </c>
      <c r="G47" s="152"/>
      <c r="H47" s="344"/>
      <c r="I47" s="153"/>
      <c r="J47" s="44"/>
      <c r="K47" s="40"/>
      <c r="L47" s="40"/>
    </row>
    <row r="48" spans="1:13" ht="21.75" customHeight="1" thickBot="1" x14ac:dyDescent="0.35">
      <c r="A48" s="424" t="s">
        <v>236</v>
      </c>
      <c r="B48" s="1884" t="s">
        <v>104</v>
      </c>
      <c r="C48" s="1884"/>
      <c r="D48" s="1884"/>
      <c r="E48" s="1885"/>
      <c r="F48" s="175">
        <f>SUM(F38:F47)</f>
        <v>855075</v>
      </c>
      <c r="G48" s="165">
        <f>SUM(G38:G47)</f>
        <v>406062</v>
      </c>
      <c r="H48" s="165">
        <f>SUM(H38:H47)</f>
        <v>406062</v>
      </c>
      <c r="I48" s="166">
        <f t="shared" si="3"/>
        <v>100</v>
      </c>
      <c r="J48" s="44"/>
      <c r="K48" s="40"/>
      <c r="L48" s="40"/>
    </row>
    <row r="49" spans="1:12" ht="21.75" customHeight="1" thickBot="1" x14ac:dyDescent="0.35">
      <c r="A49" s="1382" t="s">
        <v>276</v>
      </c>
      <c r="B49" s="1383"/>
      <c r="C49" s="1370"/>
      <c r="D49" s="1370"/>
      <c r="E49" s="1371"/>
      <c r="F49" s="177">
        <f>+F35+F37+F48</f>
        <v>9215822</v>
      </c>
      <c r="G49" s="177">
        <f>+G35+G37+G48</f>
        <v>9226843</v>
      </c>
      <c r="H49" s="177">
        <f>+H35+H37+H48</f>
        <v>9226843</v>
      </c>
      <c r="I49" s="121">
        <f t="shared" si="3"/>
        <v>100</v>
      </c>
      <c r="J49" s="44"/>
      <c r="K49" s="40"/>
      <c r="L49" s="39"/>
    </row>
    <row r="50" spans="1:12" ht="22.5" customHeight="1" x14ac:dyDescent="0.3">
      <c r="A50" s="1331" t="s">
        <v>215</v>
      </c>
      <c r="B50" s="1332"/>
      <c r="C50" s="1299"/>
      <c r="D50" s="1299"/>
      <c r="E50" s="1333"/>
      <c r="F50" s="178"/>
      <c r="G50" s="179"/>
      <c r="H50" s="178"/>
      <c r="I50" s="132"/>
      <c r="J50" s="44"/>
      <c r="K50" s="40"/>
      <c r="L50" s="39"/>
    </row>
    <row r="51" spans="1:12" ht="22.5" customHeight="1" x14ac:dyDescent="0.3">
      <c r="A51" s="1384"/>
      <c r="B51" s="1339" t="s">
        <v>94</v>
      </c>
      <c r="C51" s="1385"/>
      <c r="D51" s="1385"/>
      <c r="E51" s="1386"/>
      <c r="F51" s="180"/>
      <c r="G51" s="181"/>
      <c r="H51" s="180"/>
      <c r="I51" s="182"/>
      <c r="J51" s="44"/>
      <c r="K51" s="40"/>
      <c r="L51" s="39"/>
    </row>
    <row r="52" spans="1:12" ht="19.5" customHeight="1" x14ac:dyDescent="0.3">
      <c r="A52" s="423"/>
      <c r="B52" s="422"/>
      <c r="C52" s="1342" t="s">
        <v>364</v>
      </c>
      <c r="D52" s="1342"/>
      <c r="E52" s="1343"/>
      <c r="F52" s="183"/>
      <c r="G52" s="183">
        <v>966</v>
      </c>
      <c r="H52" s="183">
        <v>966</v>
      </c>
      <c r="I52" s="184">
        <f t="shared" si="3"/>
        <v>100</v>
      </c>
      <c r="J52" s="44"/>
      <c r="K52" s="40"/>
      <c r="L52" s="40"/>
    </row>
    <row r="53" spans="1:12" ht="23.25" customHeight="1" x14ac:dyDescent="0.3">
      <c r="A53" s="1384"/>
      <c r="B53" s="1339" t="s">
        <v>95</v>
      </c>
      <c r="C53" s="1385"/>
      <c r="D53" s="1385"/>
      <c r="E53" s="1386"/>
      <c r="F53" s="180"/>
      <c r="G53" s="180"/>
      <c r="H53" s="180"/>
      <c r="I53" s="182"/>
      <c r="J53" s="44"/>
      <c r="K53" s="40"/>
      <c r="L53" s="40"/>
    </row>
    <row r="54" spans="1:12" ht="19.5" customHeight="1" x14ac:dyDescent="0.3">
      <c r="A54" s="423"/>
      <c r="B54" s="422"/>
      <c r="C54" s="1342" t="s">
        <v>29</v>
      </c>
      <c r="D54" s="1342"/>
      <c r="E54" s="1343"/>
      <c r="F54" s="183">
        <v>1830000</v>
      </c>
      <c r="G54" s="183">
        <v>1968312</v>
      </c>
      <c r="H54" s="183">
        <v>1968112</v>
      </c>
      <c r="I54" s="184">
        <f t="shared" si="3"/>
        <v>99.989839009262766</v>
      </c>
      <c r="J54" s="59"/>
      <c r="K54" s="40"/>
      <c r="L54" s="39"/>
    </row>
    <row r="55" spans="1:12" ht="23.25" customHeight="1" x14ac:dyDescent="0.3">
      <c r="A55" s="1384"/>
      <c r="B55" s="1339" t="s">
        <v>96</v>
      </c>
      <c r="C55" s="1385"/>
      <c r="D55" s="1385"/>
      <c r="E55" s="1386"/>
      <c r="F55" s="180"/>
      <c r="G55" s="180"/>
      <c r="H55" s="180"/>
      <c r="I55" s="185"/>
      <c r="J55" s="59"/>
      <c r="K55" s="40"/>
      <c r="L55" s="39"/>
    </row>
    <row r="56" spans="1:12" ht="19.5" customHeight="1" x14ac:dyDescent="0.3">
      <c r="A56" s="423"/>
      <c r="B56" s="1339"/>
      <c r="C56" s="1387" t="s">
        <v>11</v>
      </c>
      <c r="D56" s="1388"/>
      <c r="E56" s="1389"/>
      <c r="F56" s="152">
        <v>11400000</v>
      </c>
      <c r="G56" s="152">
        <v>11608432</v>
      </c>
      <c r="H56" s="152">
        <v>11608487</v>
      </c>
      <c r="I56" s="184">
        <f t="shared" si="3"/>
        <v>100.00047379353214</v>
      </c>
      <c r="J56" s="59"/>
      <c r="K56" s="40"/>
      <c r="L56" s="39"/>
    </row>
    <row r="57" spans="1:12" ht="19.5" customHeight="1" x14ac:dyDescent="0.3">
      <c r="A57" s="423"/>
      <c r="B57" s="1339"/>
      <c r="C57" s="1387" t="s">
        <v>39</v>
      </c>
      <c r="D57" s="1387"/>
      <c r="E57" s="1389"/>
      <c r="F57" s="152">
        <v>30000</v>
      </c>
      <c r="G57" s="152">
        <v>33219</v>
      </c>
      <c r="H57" s="152">
        <v>33220</v>
      </c>
      <c r="I57" s="184">
        <f t="shared" si="3"/>
        <v>100.00301032541618</v>
      </c>
      <c r="J57" s="59"/>
      <c r="K57" s="40"/>
      <c r="L57" s="40"/>
    </row>
    <row r="58" spans="1:12" ht="23.25" customHeight="1" x14ac:dyDescent="0.3">
      <c r="A58" s="1384"/>
      <c r="B58" s="1339" t="s">
        <v>97</v>
      </c>
      <c r="C58" s="1385"/>
      <c r="D58" s="1385"/>
      <c r="E58" s="1386"/>
      <c r="F58" s="180"/>
      <c r="G58" s="180"/>
      <c r="H58" s="180"/>
      <c r="I58" s="184"/>
      <c r="J58" s="59"/>
      <c r="K58" s="40"/>
      <c r="L58" s="40"/>
    </row>
    <row r="59" spans="1:12" ht="19.5" customHeight="1" x14ac:dyDescent="0.3">
      <c r="A59" s="423"/>
      <c r="B59" s="1339"/>
      <c r="C59" s="1387" t="s">
        <v>181</v>
      </c>
      <c r="D59" s="1387"/>
      <c r="E59" s="1389"/>
      <c r="F59" s="152">
        <v>10000</v>
      </c>
      <c r="G59" s="152">
        <v>35837</v>
      </c>
      <c r="H59" s="152">
        <v>35721</v>
      </c>
      <c r="I59" s="184">
        <f t="shared" si="3"/>
        <v>99.676312191310657</v>
      </c>
      <c r="J59" s="59"/>
      <c r="K59" s="40"/>
      <c r="L59" s="40"/>
    </row>
    <row r="60" spans="1:12" ht="19.5" customHeight="1" x14ac:dyDescent="0.3">
      <c r="A60" s="423"/>
      <c r="B60" s="1339"/>
      <c r="C60" s="1387" t="s">
        <v>49</v>
      </c>
      <c r="D60" s="1388"/>
      <c r="E60" s="1389"/>
      <c r="F60" s="152">
        <v>1000</v>
      </c>
      <c r="G60" s="152">
        <v>1020</v>
      </c>
      <c r="H60" s="152">
        <v>1020</v>
      </c>
      <c r="I60" s="184">
        <f t="shared" si="3"/>
        <v>100</v>
      </c>
      <c r="J60" s="59"/>
      <c r="K60" s="40"/>
      <c r="L60" s="40"/>
    </row>
    <row r="61" spans="1:12" ht="19.5" customHeight="1" x14ac:dyDescent="0.3">
      <c r="A61" s="423"/>
      <c r="B61" s="422"/>
      <c r="C61" s="1342" t="s">
        <v>22</v>
      </c>
      <c r="D61" s="1342"/>
      <c r="E61" s="1389"/>
      <c r="F61" s="152"/>
      <c r="G61" s="152">
        <v>5435</v>
      </c>
      <c r="H61" s="152">
        <v>5435</v>
      </c>
      <c r="I61" s="184">
        <f t="shared" si="3"/>
        <v>100</v>
      </c>
      <c r="J61" s="59"/>
      <c r="K61" s="40"/>
      <c r="L61" s="40"/>
    </row>
    <row r="62" spans="1:12" ht="19.5" customHeight="1" x14ac:dyDescent="0.3">
      <c r="A62" s="423"/>
      <c r="B62" s="422"/>
      <c r="C62" s="1342" t="s">
        <v>438</v>
      </c>
      <c r="D62" s="1342"/>
      <c r="E62" s="1389"/>
      <c r="F62" s="152"/>
      <c r="G62" s="152">
        <v>47</v>
      </c>
      <c r="H62" s="152">
        <v>47</v>
      </c>
      <c r="I62" s="184">
        <f t="shared" si="3"/>
        <v>100</v>
      </c>
      <c r="J62" s="59"/>
      <c r="K62" s="40"/>
      <c r="L62" s="40"/>
    </row>
    <row r="63" spans="1:12" ht="27" customHeight="1" thickBot="1" x14ac:dyDescent="0.35">
      <c r="A63" s="1390" t="s">
        <v>216</v>
      </c>
      <c r="B63" s="1375"/>
      <c r="C63" s="1368"/>
      <c r="D63" s="1368"/>
      <c r="E63" s="1369"/>
      <c r="F63" s="193">
        <f>SUM(F52:F62)</f>
        <v>13271000</v>
      </c>
      <c r="G63" s="193">
        <f>SUM(G52:G62)</f>
        <v>13653268</v>
      </c>
      <c r="H63" s="193">
        <f>SUM(H52:H62)</f>
        <v>13653008</v>
      </c>
      <c r="I63" s="112">
        <f t="shared" si="3"/>
        <v>99.998095694012605</v>
      </c>
      <c r="J63" s="44"/>
      <c r="K63" s="40"/>
      <c r="L63" s="40"/>
    </row>
    <row r="64" spans="1:12" ht="27.75" customHeight="1" x14ac:dyDescent="0.3">
      <c r="A64" s="424" t="s">
        <v>224</v>
      </c>
      <c r="B64" s="1391"/>
      <c r="C64" s="1391"/>
      <c r="D64" s="1391"/>
      <c r="E64" s="1391"/>
      <c r="F64" s="134"/>
      <c r="G64" s="134"/>
      <c r="H64" s="186"/>
      <c r="I64" s="187"/>
      <c r="J64" s="44"/>
      <c r="K64" s="40"/>
      <c r="L64" s="40"/>
    </row>
    <row r="65" spans="1:12" ht="19.5" customHeight="1" x14ac:dyDescent="0.3">
      <c r="A65" s="423"/>
      <c r="B65" s="1339"/>
      <c r="C65" s="1387" t="s">
        <v>197</v>
      </c>
      <c r="D65" s="1387"/>
      <c r="E65" s="1389"/>
      <c r="F65" s="152"/>
      <c r="G65" s="152">
        <v>905</v>
      </c>
      <c r="H65" s="152">
        <v>905</v>
      </c>
      <c r="I65" s="153">
        <f t="shared" ref="I65:I121" si="6">+H65/G65*100</f>
        <v>100</v>
      </c>
      <c r="J65" s="44"/>
      <c r="K65" s="40"/>
      <c r="L65" s="39"/>
    </row>
    <row r="66" spans="1:12" ht="19.5" customHeight="1" x14ac:dyDescent="0.3">
      <c r="A66" s="423"/>
      <c r="B66" s="1339"/>
      <c r="C66" s="1392" t="s">
        <v>583</v>
      </c>
      <c r="D66" s="1393"/>
      <c r="E66" s="1394"/>
      <c r="F66" s="163"/>
      <c r="G66" s="163">
        <v>232</v>
      </c>
      <c r="H66" s="306">
        <v>232</v>
      </c>
      <c r="I66" s="153">
        <f t="shared" si="6"/>
        <v>100</v>
      </c>
      <c r="J66" s="44"/>
      <c r="K66" s="40"/>
      <c r="L66" s="39"/>
    </row>
    <row r="67" spans="1:12" ht="19.5" customHeight="1" x14ac:dyDescent="0.3">
      <c r="A67" s="423"/>
      <c r="B67" s="1339"/>
      <c r="C67" s="1387" t="s">
        <v>207</v>
      </c>
      <c r="D67" s="1387"/>
      <c r="E67" s="1389"/>
      <c r="F67" s="152">
        <v>15600</v>
      </c>
      <c r="G67" s="152">
        <v>15608</v>
      </c>
      <c r="H67" s="152">
        <v>15608</v>
      </c>
      <c r="I67" s="150">
        <f t="shared" si="6"/>
        <v>100</v>
      </c>
      <c r="J67" s="44"/>
      <c r="K67" s="40"/>
      <c r="L67" s="39"/>
    </row>
    <row r="68" spans="1:12" ht="19.5" customHeight="1" x14ac:dyDescent="0.3">
      <c r="A68" s="423"/>
      <c r="B68" s="1339"/>
      <c r="C68" s="1392" t="s">
        <v>389</v>
      </c>
      <c r="D68" s="1392"/>
      <c r="E68" s="1394"/>
      <c r="F68" s="163"/>
      <c r="G68" s="163">
        <v>374</v>
      </c>
      <c r="H68" s="163">
        <v>374</v>
      </c>
      <c r="I68" s="150">
        <f t="shared" si="6"/>
        <v>100</v>
      </c>
      <c r="J68" s="44"/>
      <c r="K68" s="40"/>
      <c r="L68" s="39"/>
    </row>
    <row r="69" spans="1:12" ht="37.5" customHeight="1" x14ac:dyDescent="0.3">
      <c r="A69" s="423"/>
      <c r="B69" s="1339"/>
      <c r="C69" s="1902" t="s">
        <v>394</v>
      </c>
      <c r="D69" s="1902"/>
      <c r="E69" s="1903"/>
      <c r="F69" s="163"/>
      <c r="G69" s="163">
        <v>238</v>
      </c>
      <c r="H69" s="163">
        <v>238</v>
      </c>
      <c r="I69" s="150">
        <f t="shared" si="6"/>
        <v>100</v>
      </c>
      <c r="J69" s="44"/>
      <c r="K69" s="40"/>
      <c r="L69" s="39"/>
    </row>
    <row r="70" spans="1:12" ht="19.5" customHeight="1" x14ac:dyDescent="0.3">
      <c r="A70" s="423"/>
      <c r="B70" s="1339"/>
      <c r="C70" s="1392" t="s">
        <v>193</v>
      </c>
      <c r="D70" s="1393"/>
      <c r="E70" s="1394"/>
      <c r="F70" s="163"/>
      <c r="G70" s="163">
        <v>14798</v>
      </c>
      <c r="H70" s="163">
        <v>14798</v>
      </c>
      <c r="I70" s="150">
        <f t="shared" si="6"/>
        <v>100</v>
      </c>
      <c r="J70" s="44"/>
      <c r="K70" s="40"/>
      <c r="L70" s="39"/>
    </row>
    <row r="71" spans="1:12" ht="19.5" customHeight="1" x14ac:dyDescent="0.3">
      <c r="A71" s="423"/>
      <c r="B71" s="1339"/>
      <c r="C71" s="1387" t="s">
        <v>372</v>
      </c>
      <c r="D71" s="1387"/>
      <c r="E71" s="1389"/>
      <c r="F71" s="152">
        <v>37404</v>
      </c>
      <c r="G71" s="152">
        <v>37404</v>
      </c>
      <c r="H71" s="152">
        <v>37404</v>
      </c>
      <c r="I71" s="150">
        <f t="shared" si="6"/>
        <v>100</v>
      </c>
      <c r="J71" s="44"/>
      <c r="K71" s="40"/>
      <c r="L71" s="39"/>
    </row>
    <row r="72" spans="1:12" ht="19.5" customHeight="1" x14ac:dyDescent="0.3">
      <c r="A72" s="423"/>
      <c r="B72" s="1339"/>
      <c r="C72" s="1387" t="s">
        <v>332</v>
      </c>
      <c r="D72" s="1387"/>
      <c r="E72" s="1389"/>
      <c r="F72" s="152"/>
      <c r="G72" s="152">
        <v>36069</v>
      </c>
      <c r="H72" s="152">
        <v>36069</v>
      </c>
      <c r="I72" s="150">
        <f t="shared" si="6"/>
        <v>100</v>
      </c>
      <c r="J72" s="44"/>
      <c r="K72" s="40"/>
      <c r="L72" s="39"/>
    </row>
    <row r="73" spans="1:12" ht="19.5" customHeight="1" x14ac:dyDescent="0.3">
      <c r="A73" s="423"/>
      <c r="B73" s="1339"/>
      <c r="C73" s="1387" t="s">
        <v>357</v>
      </c>
      <c r="D73" s="1387"/>
      <c r="E73" s="1389"/>
      <c r="F73" s="152"/>
      <c r="G73" s="152">
        <v>1718</v>
      </c>
      <c r="H73" s="152">
        <v>1718</v>
      </c>
      <c r="I73" s="150">
        <f t="shared" si="6"/>
        <v>100</v>
      </c>
      <c r="J73" s="44"/>
      <c r="K73" s="40"/>
      <c r="L73" s="39"/>
    </row>
    <row r="74" spans="1:12" ht="19.5" customHeight="1" x14ac:dyDescent="0.3">
      <c r="A74" s="423"/>
      <c r="B74" s="1339"/>
      <c r="C74" s="1387" t="s">
        <v>198</v>
      </c>
      <c r="D74" s="1387"/>
      <c r="E74" s="1389"/>
      <c r="F74" s="152">
        <v>665000</v>
      </c>
      <c r="G74" s="152">
        <v>667101</v>
      </c>
      <c r="H74" s="152">
        <v>667101</v>
      </c>
      <c r="I74" s="150">
        <f t="shared" si="6"/>
        <v>100</v>
      </c>
      <c r="J74" s="44"/>
      <c r="K74" s="40"/>
      <c r="L74" s="39"/>
    </row>
    <row r="75" spans="1:12" ht="19.5" customHeight="1" x14ac:dyDescent="0.3">
      <c r="A75" s="423"/>
      <c r="B75" s="1339"/>
      <c r="C75" s="1387" t="s">
        <v>229</v>
      </c>
      <c r="D75" s="1387"/>
      <c r="E75" s="1389"/>
      <c r="F75" s="152">
        <v>9000</v>
      </c>
      <c r="G75" s="152">
        <v>12971</v>
      </c>
      <c r="H75" s="152">
        <v>12971</v>
      </c>
      <c r="I75" s="150">
        <f t="shared" si="6"/>
        <v>100</v>
      </c>
      <c r="J75" s="44"/>
      <c r="K75" s="40"/>
      <c r="L75" s="39"/>
    </row>
    <row r="76" spans="1:12" ht="19.5" customHeight="1" x14ac:dyDescent="0.3">
      <c r="A76" s="423"/>
      <c r="B76" s="1339"/>
      <c r="C76" s="1392" t="s">
        <v>62</v>
      </c>
      <c r="D76" s="1393"/>
      <c r="E76" s="1394"/>
      <c r="F76" s="163">
        <v>2700</v>
      </c>
      <c r="G76" s="163">
        <v>2611</v>
      </c>
      <c r="H76" s="163">
        <v>2611</v>
      </c>
      <c r="I76" s="150">
        <f t="shared" si="6"/>
        <v>100</v>
      </c>
      <c r="J76" s="44"/>
      <c r="K76" s="40"/>
      <c r="L76" s="39"/>
    </row>
    <row r="77" spans="1:12" ht="19.5" customHeight="1" x14ac:dyDescent="0.3">
      <c r="A77" s="423"/>
      <c r="B77" s="1339"/>
      <c r="C77" s="1387" t="s">
        <v>61</v>
      </c>
      <c r="D77" s="1387"/>
      <c r="E77" s="1389"/>
      <c r="F77" s="152">
        <v>700000</v>
      </c>
      <c r="G77" s="152">
        <v>700000</v>
      </c>
      <c r="H77" s="152">
        <v>789090</v>
      </c>
      <c r="I77" s="150">
        <f t="shared" si="6"/>
        <v>112.72714285714285</v>
      </c>
      <c r="J77" s="44"/>
      <c r="K77" s="40"/>
      <c r="L77" s="39"/>
    </row>
    <row r="78" spans="1:12" ht="30.75" customHeight="1" x14ac:dyDescent="0.3">
      <c r="A78" s="423"/>
      <c r="B78" s="1339"/>
      <c r="C78" s="1387" t="s">
        <v>34</v>
      </c>
      <c r="D78" s="1387"/>
      <c r="E78" s="1389"/>
      <c r="F78" s="152">
        <v>9000</v>
      </c>
      <c r="G78" s="152">
        <v>11297</v>
      </c>
      <c r="H78" s="152">
        <f>2857+8440</f>
        <v>11297</v>
      </c>
      <c r="I78" s="150">
        <f t="shared" si="6"/>
        <v>100</v>
      </c>
      <c r="J78" s="44"/>
      <c r="K78" s="40"/>
      <c r="L78" s="39"/>
    </row>
    <row r="79" spans="1:12" ht="19.5" customHeight="1" x14ac:dyDescent="0.3">
      <c r="A79" s="423"/>
      <c r="B79" s="1339"/>
      <c r="C79" s="1387" t="s">
        <v>55</v>
      </c>
      <c r="D79" s="1387"/>
      <c r="E79" s="1389"/>
      <c r="F79" s="152">
        <v>17000</v>
      </c>
      <c r="G79" s="152">
        <v>27177</v>
      </c>
      <c r="H79" s="152">
        <v>27177</v>
      </c>
      <c r="I79" s="150">
        <f t="shared" si="6"/>
        <v>100</v>
      </c>
      <c r="J79" s="44"/>
      <c r="K79" s="40"/>
      <c r="L79" s="39"/>
    </row>
    <row r="80" spans="1:12" ht="19.5" customHeight="1" x14ac:dyDescent="0.3">
      <c r="A80" s="423"/>
      <c r="B80" s="1339"/>
      <c r="C80" s="1392" t="s">
        <v>183</v>
      </c>
      <c r="D80" s="1392"/>
      <c r="E80" s="1394"/>
      <c r="F80" s="163"/>
      <c r="G80" s="163">
        <v>548200</v>
      </c>
      <c r="H80" s="163">
        <v>548200</v>
      </c>
      <c r="I80" s="150">
        <f t="shared" si="6"/>
        <v>100</v>
      </c>
      <c r="J80" s="44"/>
      <c r="K80" s="40"/>
      <c r="L80" s="40"/>
    </row>
    <row r="81" spans="1:12" ht="19.5" customHeight="1" x14ac:dyDescent="0.3">
      <c r="A81" s="423"/>
      <c r="B81" s="1339"/>
      <c r="C81" s="1392" t="s">
        <v>565</v>
      </c>
      <c r="D81" s="1392"/>
      <c r="E81" s="1394"/>
      <c r="F81" s="163"/>
      <c r="G81" s="163">
        <v>3504</v>
      </c>
      <c r="H81" s="163">
        <v>3504</v>
      </c>
      <c r="I81" s="150">
        <f t="shared" si="6"/>
        <v>100</v>
      </c>
      <c r="J81" s="44"/>
      <c r="K81" s="40"/>
      <c r="L81" s="39"/>
    </row>
    <row r="82" spans="1:12" ht="19.5" customHeight="1" x14ac:dyDescent="0.3">
      <c r="A82" s="423"/>
      <c r="B82" s="1339"/>
      <c r="C82" s="1389" t="s">
        <v>133</v>
      </c>
      <c r="D82" s="1394"/>
      <c r="E82" s="1394"/>
      <c r="F82" s="163"/>
      <c r="G82" s="163">
        <v>52</v>
      </c>
      <c r="H82" s="163">
        <v>52</v>
      </c>
      <c r="I82" s="150">
        <f t="shared" si="6"/>
        <v>100</v>
      </c>
      <c r="J82" s="44"/>
      <c r="K82" s="40"/>
      <c r="L82" s="40"/>
    </row>
    <row r="83" spans="1:12" ht="19.5" customHeight="1" x14ac:dyDescent="0.3">
      <c r="A83" s="423"/>
      <c r="B83" s="1339"/>
      <c r="C83" s="1387" t="s">
        <v>192</v>
      </c>
      <c r="D83" s="1392"/>
      <c r="E83" s="1394"/>
      <c r="F83" s="163">
        <v>1700</v>
      </c>
      <c r="G83" s="163">
        <v>1139</v>
      </c>
      <c r="H83" s="163">
        <v>1139</v>
      </c>
      <c r="I83" s="150">
        <f t="shared" si="6"/>
        <v>100</v>
      </c>
      <c r="J83" s="44"/>
      <c r="K83" s="40"/>
      <c r="L83" s="39"/>
    </row>
    <row r="84" spans="1:12" ht="19.5" customHeight="1" x14ac:dyDescent="0.3">
      <c r="A84" s="423"/>
      <c r="B84" s="1339"/>
      <c r="C84" s="1395" t="s">
        <v>395</v>
      </c>
      <c r="D84" s="1392"/>
      <c r="E84" s="1394"/>
      <c r="F84" s="163"/>
      <c r="G84" s="163">
        <v>8724</v>
      </c>
      <c r="H84" s="306">
        <v>8724</v>
      </c>
      <c r="I84" s="150">
        <f t="shared" si="6"/>
        <v>100</v>
      </c>
      <c r="J84" s="44"/>
      <c r="K84" s="40"/>
      <c r="L84" s="39"/>
    </row>
    <row r="85" spans="1:12" ht="19.5" customHeight="1" x14ac:dyDescent="0.3">
      <c r="A85" s="423"/>
      <c r="B85" s="1339"/>
      <c r="C85" s="1387" t="s">
        <v>566</v>
      </c>
      <c r="D85" s="1395"/>
      <c r="E85" s="1394"/>
      <c r="F85" s="163"/>
      <c r="G85" s="163">
        <v>64640</v>
      </c>
      <c r="H85" s="152">
        <v>64640</v>
      </c>
      <c r="I85" s="153">
        <f t="shared" si="6"/>
        <v>100</v>
      </c>
      <c r="J85" s="44"/>
      <c r="K85" s="40"/>
      <c r="L85" s="39"/>
    </row>
    <row r="86" spans="1:12" ht="19.5" customHeight="1" x14ac:dyDescent="0.3">
      <c r="A86" s="423"/>
      <c r="B86" s="1339"/>
      <c r="C86" s="1387" t="s">
        <v>563</v>
      </c>
      <c r="D86" s="1396"/>
      <c r="E86" s="1394"/>
      <c r="F86" s="163"/>
      <c r="G86" s="163">
        <v>3309</v>
      </c>
      <c r="H86" s="152">
        <v>3309</v>
      </c>
      <c r="I86" s="153">
        <f t="shared" si="6"/>
        <v>100</v>
      </c>
      <c r="J86" s="44"/>
      <c r="K86" s="40"/>
      <c r="L86" s="39"/>
    </row>
    <row r="87" spans="1:12" ht="19.5" customHeight="1" x14ac:dyDescent="0.3">
      <c r="A87" s="1384"/>
      <c r="B87" s="1339" t="s">
        <v>106</v>
      </c>
      <c r="C87" s="1385"/>
      <c r="D87" s="1385"/>
      <c r="E87" s="1389"/>
      <c r="F87" s="152"/>
      <c r="G87" s="152"/>
      <c r="H87" s="149"/>
      <c r="I87" s="150"/>
      <c r="J87" s="44"/>
      <c r="K87" s="40"/>
      <c r="L87" s="39"/>
    </row>
    <row r="88" spans="1:12" ht="19.5" customHeight="1" x14ac:dyDescent="0.3">
      <c r="A88" s="423"/>
      <c r="B88" s="1339"/>
      <c r="C88" s="1389" t="s">
        <v>199</v>
      </c>
      <c r="D88" s="1387"/>
      <c r="E88" s="1389"/>
      <c r="F88" s="152">
        <v>114480</v>
      </c>
      <c r="G88" s="152">
        <v>114480</v>
      </c>
      <c r="H88" s="160"/>
      <c r="I88" s="150">
        <f t="shared" si="6"/>
        <v>0</v>
      </c>
      <c r="J88" s="44"/>
      <c r="K88" s="40"/>
      <c r="L88" s="39"/>
    </row>
    <row r="89" spans="1:12" ht="19.5" customHeight="1" x14ac:dyDescent="0.3">
      <c r="A89" s="423"/>
      <c r="B89" s="1339"/>
      <c r="C89" s="1389" t="s">
        <v>23</v>
      </c>
      <c r="D89" s="1387"/>
      <c r="E89" s="1389"/>
      <c r="F89" s="152">
        <v>250000</v>
      </c>
      <c r="G89" s="152">
        <v>250000</v>
      </c>
      <c r="H89" s="152">
        <f>369498-1</f>
        <v>369497</v>
      </c>
      <c r="I89" s="150">
        <f t="shared" si="6"/>
        <v>147.7988</v>
      </c>
      <c r="J89" s="44"/>
      <c r="K89" s="40"/>
      <c r="L89" s="40"/>
    </row>
    <row r="90" spans="1:12" ht="19.5" customHeight="1" x14ac:dyDescent="0.3">
      <c r="A90" s="423"/>
      <c r="B90" s="1339"/>
      <c r="C90" s="1389" t="s">
        <v>564</v>
      </c>
      <c r="D90" s="1387"/>
      <c r="E90" s="1389"/>
      <c r="F90" s="152"/>
      <c r="G90" s="152">
        <v>17453</v>
      </c>
      <c r="H90" s="152"/>
      <c r="I90" s="150">
        <f t="shared" si="6"/>
        <v>0</v>
      </c>
      <c r="J90" s="44"/>
      <c r="K90" s="40"/>
      <c r="L90" s="40"/>
    </row>
    <row r="91" spans="1:12" ht="19.5" customHeight="1" x14ac:dyDescent="0.3">
      <c r="A91" s="423"/>
      <c r="B91" s="1339"/>
      <c r="C91" s="1387" t="s">
        <v>129</v>
      </c>
      <c r="D91" s="1387"/>
      <c r="E91" s="1389"/>
      <c r="F91" s="152">
        <v>20000</v>
      </c>
      <c r="G91" s="152">
        <v>20000</v>
      </c>
      <c r="H91" s="152"/>
      <c r="I91" s="150">
        <f t="shared" si="6"/>
        <v>0</v>
      </c>
      <c r="J91" s="44"/>
      <c r="K91" s="40"/>
      <c r="L91" s="39"/>
    </row>
    <row r="92" spans="1:12" ht="19.5" customHeight="1" x14ac:dyDescent="0.3">
      <c r="A92" s="423"/>
      <c r="B92" s="1339"/>
      <c r="C92" s="1387" t="s">
        <v>441</v>
      </c>
      <c r="D92" s="1387"/>
      <c r="E92" s="1389"/>
      <c r="F92" s="152"/>
      <c r="G92" s="152">
        <v>270</v>
      </c>
      <c r="H92" s="152"/>
      <c r="I92" s="150">
        <f t="shared" si="6"/>
        <v>0</v>
      </c>
      <c r="J92" s="44"/>
      <c r="K92" s="40"/>
      <c r="L92" s="39"/>
    </row>
    <row r="93" spans="1:12" ht="19.5" customHeight="1" x14ac:dyDescent="0.3">
      <c r="A93" s="423"/>
      <c r="B93" s="1339"/>
      <c r="C93" s="1342" t="s">
        <v>45</v>
      </c>
      <c r="D93" s="1387"/>
      <c r="E93" s="1389"/>
      <c r="F93" s="152"/>
      <c r="G93" s="152">
        <v>270996</v>
      </c>
      <c r="H93" s="152"/>
      <c r="I93" s="150">
        <f t="shared" si="6"/>
        <v>0</v>
      </c>
      <c r="J93" s="44"/>
      <c r="K93" s="40"/>
      <c r="L93" s="40"/>
    </row>
    <row r="94" spans="1:12" ht="19.5" customHeight="1" x14ac:dyDescent="0.3">
      <c r="A94" s="1384"/>
      <c r="B94" s="1339" t="s">
        <v>107</v>
      </c>
      <c r="C94" s="1397"/>
      <c r="D94" s="1397"/>
      <c r="E94" s="1398"/>
      <c r="F94" s="188"/>
      <c r="G94" s="188"/>
      <c r="H94" s="188"/>
      <c r="I94" s="150"/>
      <c r="J94" s="44"/>
      <c r="K94" s="40"/>
      <c r="L94" s="40"/>
    </row>
    <row r="95" spans="1:12" ht="19.5" customHeight="1" x14ac:dyDescent="0.3">
      <c r="A95" s="423"/>
      <c r="B95" s="422"/>
      <c r="C95" s="1897" t="s">
        <v>208</v>
      </c>
      <c r="D95" s="1897"/>
      <c r="E95" s="1898"/>
      <c r="F95" s="149">
        <v>460000</v>
      </c>
      <c r="G95" s="149">
        <v>396926</v>
      </c>
      <c r="H95" s="149">
        <v>396926</v>
      </c>
      <c r="I95" s="150">
        <f t="shared" si="6"/>
        <v>100</v>
      </c>
      <c r="J95" s="44"/>
      <c r="K95" s="40"/>
      <c r="L95" s="39"/>
    </row>
    <row r="96" spans="1:12" ht="19.5" customHeight="1" x14ac:dyDescent="0.3">
      <c r="A96" s="423"/>
      <c r="B96" s="422"/>
      <c r="C96" s="1342" t="s">
        <v>555</v>
      </c>
      <c r="D96" s="1342"/>
      <c r="E96" s="1389"/>
      <c r="F96" s="149"/>
      <c r="G96" s="149">
        <v>40268</v>
      </c>
      <c r="H96" s="149">
        <v>40268</v>
      </c>
      <c r="I96" s="150">
        <f t="shared" si="6"/>
        <v>100</v>
      </c>
      <c r="J96" s="44"/>
      <c r="K96" s="40"/>
      <c r="L96" s="39"/>
    </row>
    <row r="97" spans="1:14" ht="19.5" customHeight="1" x14ac:dyDescent="0.3">
      <c r="A97" s="1384"/>
      <c r="B97" s="1339" t="s">
        <v>304</v>
      </c>
      <c r="C97" s="1397"/>
      <c r="D97" s="1397"/>
      <c r="E97" s="1398"/>
      <c r="F97" s="188"/>
      <c r="G97" s="188"/>
      <c r="H97" s="188"/>
      <c r="I97" s="150"/>
      <c r="J97" s="44"/>
    </row>
    <row r="98" spans="1:14" ht="22.5" customHeight="1" thickBot="1" x14ac:dyDescent="0.35">
      <c r="A98" s="1399" t="s">
        <v>221</v>
      </c>
      <c r="B98" s="1368"/>
      <c r="C98" s="1368"/>
      <c r="D98" s="1368"/>
      <c r="E98" s="1368"/>
      <c r="F98" s="165">
        <f>SUM(F65:F97)</f>
        <v>2301884</v>
      </c>
      <c r="G98" s="165">
        <f>SUM(G65:G97)</f>
        <v>3268464</v>
      </c>
      <c r="H98" s="165">
        <f>SUM(H65:H97)</f>
        <v>3053852</v>
      </c>
      <c r="I98" s="166">
        <f t="shared" si="6"/>
        <v>93.433857616299278</v>
      </c>
      <c r="J98" s="44"/>
    </row>
    <row r="99" spans="1:14" ht="23.25" customHeight="1" x14ac:dyDescent="0.3">
      <c r="A99" s="424" t="s">
        <v>214</v>
      </c>
      <c r="B99" s="1400"/>
      <c r="C99" s="1400"/>
      <c r="D99" s="1400"/>
      <c r="E99" s="1400"/>
      <c r="F99" s="176"/>
      <c r="G99" s="160"/>
      <c r="H99" s="176"/>
      <c r="I99" s="189"/>
      <c r="J99" s="44"/>
      <c r="K99" s="37"/>
    </row>
    <row r="100" spans="1:14" ht="33.75" customHeight="1" x14ac:dyDescent="0.3">
      <c r="A100" s="424"/>
      <c r="B100" s="1900" t="s">
        <v>102</v>
      </c>
      <c r="C100" s="1900"/>
      <c r="D100" s="1900"/>
      <c r="E100" s="1901"/>
      <c r="F100" s="141"/>
      <c r="G100" s="141"/>
      <c r="H100" s="141"/>
      <c r="I100" s="142"/>
      <c r="J100" s="44"/>
    </row>
    <row r="101" spans="1:14" ht="19.5" customHeight="1" x14ac:dyDescent="0.3">
      <c r="A101" s="1384"/>
      <c r="B101" s="1358"/>
      <c r="C101" s="1899" t="s">
        <v>349</v>
      </c>
      <c r="D101" s="1897"/>
      <c r="E101" s="1898"/>
      <c r="F101" s="190"/>
      <c r="G101" s="190">
        <v>20000</v>
      </c>
      <c r="H101" s="190"/>
      <c r="I101" s="153">
        <f t="shared" si="6"/>
        <v>0</v>
      </c>
      <c r="J101" s="44"/>
    </row>
    <row r="102" spans="1:14" ht="19.5" customHeight="1" x14ac:dyDescent="0.3">
      <c r="A102" s="1384"/>
      <c r="B102" s="1358"/>
      <c r="C102" s="1387" t="s">
        <v>388</v>
      </c>
      <c r="D102" s="1342"/>
      <c r="E102" s="1342"/>
      <c r="F102" s="183"/>
      <c r="G102" s="183">
        <v>6657</v>
      </c>
      <c r="H102" s="183">
        <v>6657</v>
      </c>
      <c r="I102" s="153">
        <f t="shared" si="6"/>
        <v>100</v>
      </c>
      <c r="J102" s="44"/>
    </row>
    <row r="103" spans="1:14" ht="19.5" customHeight="1" x14ac:dyDescent="0.3">
      <c r="A103" s="1384"/>
      <c r="B103" s="1358"/>
      <c r="C103" s="1395" t="s">
        <v>567</v>
      </c>
      <c r="D103" s="1342"/>
      <c r="E103" s="1401"/>
      <c r="F103" s="183"/>
      <c r="G103" s="183">
        <v>500</v>
      </c>
      <c r="H103" s="154">
        <v>500</v>
      </c>
      <c r="I103" s="153">
        <f t="shared" si="6"/>
        <v>100</v>
      </c>
      <c r="J103" s="44"/>
    </row>
    <row r="104" spans="1:14" ht="19.5" customHeight="1" x14ac:dyDescent="0.3">
      <c r="A104" s="424"/>
      <c r="B104" s="1400" t="s">
        <v>103</v>
      </c>
      <c r="C104" s="1400"/>
      <c r="D104" s="1400"/>
      <c r="E104" s="1400"/>
      <c r="F104" s="176"/>
      <c r="G104" s="176"/>
      <c r="H104" s="176"/>
      <c r="I104" s="153"/>
      <c r="J104" s="44"/>
    </row>
    <row r="105" spans="1:14" ht="19.5" customHeight="1" x14ac:dyDescent="0.3">
      <c r="A105" s="1384"/>
      <c r="B105" s="1358"/>
      <c r="C105" s="1402" t="s">
        <v>460</v>
      </c>
      <c r="D105" s="1349"/>
      <c r="E105" s="1342"/>
      <c r="F105" s="191"/>
      <c r="G105" s="183">
        <v>1583</v>
      </c>
      <c r="H105" s="183">
        <v>1583</v>
      </c>
      <c r="I105" s="153">
        <f t="shared" si="6"/>
        <v>100</v>
      </c>
      <c r="J105" s="44"/>
    </row>
    <row r="106" spans="1:14" ht="19.5" customHeight="1" x14ac:dyDescent="0.3">
      <c r="A106" s="1384"/>
      <c r="B106" s="1358"/>
      <c r="C106" s="1358" t="s">
        <v>396</v>
      </c>
      <c r="D106" s="422"/>
      <c r="E106" s="1342"/>
      <c r="F106" s="191"/>
      <c r="G106" s="183">
        <v>4168</v>
      </c>
      <c r="H106" s="183">
        <v>4168</v>
      </c>
      <c r="I106" s="153">
        <f t="shared" si="6"/>
        <v>100</v>
      </c>
      <c r="J106" s="44"/>
    </row>
    <row r="107" spans="1:14" ht="19.5" customHeight="1" x14ac:dyDescent="0.3">
      <c r="A107" s="1384"/>
      <c r="B107" s="1358"/>
      <c r="C107" s="1402" t="s">
        <v>365</v>
      </c>
      <c r="D107" s="1349"/>
      <c r="E107" s="1342"/>
      <c r="F107" s="191"/>
      <c r="G107" s="183">
        <v>14353</v>
      </c>
      <c r="H107" s="183">
        <v>14353</v>
      </c>
      <c r="I107" s="153">
        <f t="shared" si="6"/>
        <v>100</v>
      </c>
      <c r="J107" s="44"/>
    </row>
    <row r="108" spans="1:14" ht="19.5" customHeight="1" x14ac:dyDescent="0.3">
      <c r="A108" s="1384"/>
      <c r="B108" s="1358"/>
      <c r="C108" s="1349" t="s">
        <v>461</v>
      </c>
      <c r="D108" s="1387"/>
      <c r="E108" s="1349"/>
      <c r="F108" s="192"/>
      <c r="G108" s="191">
        <v>450</v>
      </c>
      <c r="H108" s="183">
        <v>450</v>
      </c>
      <c r="I108" s="153">
        <f t="shared" si="6"/>
        <v>100</v>
      </c>
      <c r="J108" s="53"/>
      <c r="K108" s="44"/>
      <c r="N108" s="34"/>
    </row>
    <row r="109" spans="1:14" ht="19.5" customHeight="1" x14ac:dyDescent="0.3">
      <c r="A109" s="1384"/>
      <c r="B109" s="1358"/>
      <c r="C109" s="1350" t="s">
        <v>440</v>
      </c>
      <c r="D109" s="1387"/>
      <c r="E109" s="1349"/>
      <c r="F109" s="334"/>
      <c r="G109" s="191">
        <v>9180</v>
      </c>
      <c r="H109" s="183">
        <v>9180</v>
      </c>
      <c r="I109" s="153">
        <f t="shared" si="6"/>
        <v>100</v>
      </c>
      <c r="J109" s="53"/>
      <c r="K109" s="44"/>
      <c r="N109" s="34"/>
    </row>
    <row r="110" spans="1:14" ht="19.5" customHeight="1" x14ac:dyDescent="0.3">
      <c r="A110" s="1384"/>
      <c r="B110" s="1358"/>
      <c r="C110" s="1350" t="s">
        <v>442</v>
      </c>
      <c r="D110" s="1387"/>
      <c r="E110" s="1349"/>
      <c r="F110" s="334"/>
      <c r="G110" s="191">
        <v>39937</v>
      </c>
      <c r="H110" s="183">
        <v>9020</v>
      </c>
      <c r="I110" s="153">
        <f t="shared" si="6"/>
        <v>22.585572276335228</v>
      </c>
      <c r="J110" s="53"/>
      <c r="K110" s="44"/>
      <c r="N110" s="34"/>
    </row>
    <row r="111" spans="1:14" ht="19.5" customHeight="1" x14ac:dyDescent="0.3">
      <c r="A111" s="1384"/>
      <c r="B111" s="1358"/>
      <c r="C111" s="1350" t="s">
        <v>501</v>
      </c>
      <c r="D111" s="1387"/>
      <c r="E111" s="1349"/>
      <c r="F111" s="334">
        <v>1618</v>
      </c>
      <c r="G111" s="334">
        <v>1618</v>
      </c>
      <c r="H111" s="183"/>
      <c r="I111" s="153">
        <f t="shared" si="6"/>
        <v>0</v>
      </c>
      <c r="J111" s="53"/>
      <c r="K111" s="44"/>
      <c r="N111" s="34"/>
    </row>
    <row r="112" spans="1:14" ht="19.5" customHeight="1" x14ac:dyDescent="0.3">
      <c r="A112" s="1384"/>
      <c r="B112" s="1358"/>
      <c r="C112" s="1350" t="s">
        <v>584</v>
      </c>
      <c r="D112" s="1387"/>
      <c r="E112" s="1349"/>
      <c r="F112" s="334"/>
      <c r="G112" s="163">
        <v>44415</v>
      </c>
      <c r="H112" s="183"/>
      <c r="I112" s="153">
        <f t="shared" si="6"/>
        <v>0</v>
      </c>
      <c r="J112" s="53"/>
      <c r="K112" s="44"/>
      <c r="N112" s="34"/>
    </row>
    <row r="113" spans="1:13" ht="19.5" customHeight="1" x14ac:dyDescent="0.3">
      <c r="A113" s="1384"/>
      <c r="B113" s="1358"/>
      <c r="C113" s="1358" t="s">
        <v>568</v>
      </c>
      <c r="D113" s="422"/>
      <c r="E113" s="422"/>
      <c r="F113" s="191"/>
      <c r="G113" s="196">
        <v>5370</v>
      </c>
      <c r="H113" s="196"/>
      <c r="I113" s="153">
        <f t="shared" si="6"/>
        <v>0</v>
      </c>
      <c r="J113" s="44"/>
    </row>
    <row r="114" spans="1:13" ht="19.5" customHeight="1" x14ac:dyDescent="0.3">
      <c r="A114" s="1384"/>
      <c r="B114" s="1358"/>
      <c r="C114" s="1349" t="s">
        <v>569</v>
      </c>
      <c r="D114" s="1342"/>
      <c r="E114" s="1342"/>
      <c r="F114" s="183"/>
      <c r="G114" s="183">
        <v>6355</v>
      </c>
      <c r="H114" s="183"/>
      <c r="I114" s="153">
        <f t="shared" si="6"/>
        <v>0</v>
      </c>
      <c r="J114" s="44"/>
    </row>
    <row r="115" spans="1:13" ht="19.5" customHeight="1" x14ac:dyDescent="0.3">
      <c r="A115" s="1384"/>
      <c r="B115" s="1358"/>
      <c r="C115" s="1358" t="s">
        <v>522</v>
      </c>
      <c r="D115" s="422"/>
      <c r="E115" s="422"/>
      <c r="F115" s="418"/>
      <c r="G115" s="196">
        <v>19936</v>
      </c>
      <c r="H115" s="196">
        <v>19936</v>
      </c>
      <c r="I115" s="150">
        <f t="shared" si="6"/>
        <v>100</v>
      </c>
      <c r="J115" s="44"/>
    </row>
    <row r="116" spans="1:13" ht="23.25" customHeight="1" thickBot="1" x14ac:dyDescent="0.35">
      <c r="A116" s="424" t="s">
        <v>237</v>
      </c>
      <c r="B116" s="1368"/>
      <c r="C116" s="1403"/>
      <c r="D116" s="1403"/>
      <c r="E116" s="1368"/>
      <c r="F116" s="193">
        <f>SUM(F101:F115)</f>
        <v>1618</v>
      </c>
      <c r="G116" s="193">
        <f>SUM(G101:G115)</f>
        <v>174522</v>
      </c>
      <c r="H116" s="193">
        <f>SUM(H101:H115)</f>
        <v>65847</v>
      </c>
      <c r="I116" s="166">
        <f t="shared" si="6"/>
        <v>37.729913707154402</v>
      </c>
      <c r="J116" s="44"/>
    </row>
    <row r="117" spans="1:13" ht="24.75" customHeight="1" x14ac:dyDescent="0.3">
      <c r="A117" s="1331" t="s">
        <v>98</v>
      </c>
      <c r="B117" s="1404"/>
      <c r="C117" s="1404"/>
      <c r="D117" s="1404"/>
      <c r="E117" s="1405"/>
      <c r="F117" s="194"/>
      <c r="G117" s="194"/>
      <c r="H117" s="194"/>
      <c r="I117" s="195"/>
      <c r="J117" s="44"/>
    </row>
    <row r="118" spans="1:13" s="4" customFormat="1" ht="19.5" customHeight="1" x14ac:dyDescent="0.3">
      <c r="A118" s="1406"/>
      <c r="B118" s="1358" t="s">
        <v>68</v>
      </c>
      <c r="C118" s="1391"/>
      <c r="D118" s="1391"/>
      <c r="E118" s="1355"/>
      <c r="F118" s="190">
        <v>19300</v>
      </c>
      <c r="G118" s="190">
        <v>33506</v>
      </c>
      <c r="H118" s="190">
        <v>33479</v>
      </c>
      <c r="I118" s="150">
        <f t="shared" si="6"/>
        <v>99.919417417775918</v>
      </c>
      <c r="J118" s="44"/>
      <c r="K118" s="34"/>
      <c r="L118" s="34"/>
      <c r="M118" s="42"/>
    </row>
    <row r="119" spans="1:13" s="4" customFormat="1" ht="19.5" customHeight="1" x14ac:dyDescent="0.3">
      <c r="A119" s="1406"/>
      <c r="B119" s="1349" t="s">
        <v>277</v>
      </c>
      <c r="C119" s="1349"/>
      <c r="D119" s="1407"/>
      <c r="E119" s="1408"/>
      <c r="F119" s="190">
        <v>608901</v>
      </c>
      <c r="G119" s="190">
        <v>579474</v>
      </c>
      <c r="H119" s="190">
        <v>579473</v>
      </c>
      <c r="I119" s="150">
        <f t="shared" si="6"/>
        <v>99.999827429703487</v>
      </c>
      <c r="J119" s="44"/>
      <c r="K119" s="34"/>
      <c r="L119" s="34"/>
      <c r="M119" s="42"/>
    </row>
    <row r="120" spans="1:13" s="4" customFormat="1" ht="19.5" customHeight="1" x14ac:dyDescent="0.3">
      <c r="A120" s="1406"/>
      <c r="B120" s="1349" t="s">
        <v>195</v>
      </c>
      <c r="C120" s="1409"/>
      <c r="D120" s="1407"/>
      <c r="E120" s="1408"/>
      <c r="F120" s="190">
        <v>28471</v>
      </c>
      <c r="G120" s="190">
        <v>83404</v>
      </c>
      <c r="H120" s="190">
        <v>83403</v>
      </c>
      <c r="I120" s="150">
        <f t="shared" si="6"/>
        <v>99.998801016737801</v>
      </c>
      <c r="J120" s="44"/>
      <c r="K120" s="34"/>
      <c r="L120" s="34"/>
      <c r="M120" s="42"/>
    </row>
    <row r="121" spans="1:13" s="4" customFormat="1" ht="19.5" customHeight="1" x14ac:dyDescent="0.3">
      <c r="A121" s="1406"/>
      <c r="B121" s="1349" t="s">
        <v>1202</v>
      </c>
      <c r="C121" s="1362"/>
      <c r="D121" s="1407"/>
      <c r="E121" s="1408"/>
      <c r="F121" s="190">
        <v>102344</v>
      </c>
      <c r="G121" s="190">
        <v>319546</v>
      </c>
      <c r="H121" s="190">
        <v>319635</v>
      </c>
      <c r="I121" s="150">
        <f t="shared" si="6"/>
        <v>100.02785201504634</v>
      </c>
      <c r="J121" s="44"/>
      <c r="K121" s="34"/>
      <c r="L121" s="34"/>
      <c r="M121" s="42"/>
    </row>
    <row r="122" spans="1:13" s="4" customFormat="1" ht="19.5" customHeight="1" x14ac:dyDescent="0.3">
      <c r="A122" s="1406"/>
      <c r="B122" s="1349" t="s">
        <v>219</v>
      </c>
      <c r="C122" s="1409"/>
      <c r="D122" s="1407"/>
      <c r="E122" s="1408"/>
      <c r="F122" s="190">
        <v>26100</v>
      </c>
      <c r="G122" s="190">
        <v>55501</v>
      </c>
      <c r="H122" s="190">
        <v>55501</v>
      </c>
      <c r="I122" s="150">
        <f t="shared" ref="I122:I129" si="7">+H122/G122*100</f>
        <v>100</v>
      </c>
      <c r="J122" s="44"/>
      <c r="K122" s="34"/>
      <c r="L122" s="34"/>
      <c r="M122" s="42"/>
    </row>
    <row r="123" spans="1:13" s="4" customFormat="1" ht="19.5" customHeight="1" x14ac:dyDescent="0.3">
      <c r="A123" s="1406"/>
      <c r="B123" s="1349" t="s">
        <v>218</v>
      </c>
      <c r="C123" s="1356"/>
      <c r="D123" s="1407"/>
      <c r="E123" s="1408"/>
      <c r="F123" s="190">
        <v>154078</v>
      </c>
      <c r="G123" s="190">
        <v>268072</v>
      </c>
      <c r="H123" s="190">
        <v>219980</v>
      </c>
      <c r="I123" s="150">
        <f t="shared" si="7"/>
        <v>82.060043570384082</v>
      </c>
      <c r="J123" s="44"/>
      <c r="K123" s="34"/>
      <c r="L123" s="34"/>
      <c r="M123" s="42"/>
    </row>
    <row r="124" spans="1:13" s="4" customFormat="1" ht="19.5" customHeight="1" x14ac:dyDescent="0.3">
      <c r="A124" s="1406"/>
      <c r="B124" s="1891" t="s">
        <v>41</v>
      </c>
      <c r="C124" s="1895"/>
      <c r="D124" s="1895"/>
      <c r="E124" s="1896"/>
      <c r="F124" s="190">
        <v>141307</v>
      </c>
      <c r="G124" s="190">
        <v>235262</v>
      </c>
      <c r="H124" s="190">
        <v>235263</v>
      </c>
      <c r="I124" s="150">
        <f t="shared" si="7"/>
        <v>100.00042505802043</v>
      </c>
      <c r="J124" s="44"/>
      <c r="K124" s="34"/>
      <c r="L124" s="34"/>
      <c r="M124" s="42"/>
    </row>
    <row r="125" spans="1:13" s="4" customFormat="1" ht="19.5" customHeight="1" x14ac:dyDescent="0.3">
      <c r="A125" s="1406"/>
      <c r="B125" s="1349" t="s">
        <v>230</v>
      </c>
      <c r="C125" s="1407"/>
      <c r="D125" s="1407"/>
      <c r="E125" s="1408"/>
      <c r="F125" s="190">
        <v>484145</v>
      </c>
      <c r="G125" s="190">
        <v>567292</v>
      </c>
      <c r="H125" s="190">
        <v>567292</v>
      </c>
      <c r="I125" s="150">
        <f t="shared" si="7"/>
        <v>100</v>
      </c>
      <c r="J125" s="44"/>
      <c r="K125" s="34"/>
      <c r="L125" s="34"/>
      <c r="M125" s="42"/>
    </row>
    <row r="126" spans="1:13" s="4" customFormat="1" ht="19.5" customHeight="1" x14ac:dyDescent="0.3">
      <c r="A126" s="1406"/>
      <c r="B126" s="1349" t="s">
        <v>59</v>
      </c>
      <c r="C126" s="1407"/>
      <c r="D126" s="1407"/>
      <c r="E126" s="1408"/>
      <c r="F126" s="190">
        <v>88796</v>
      </c>
      <c r="G126" s="190">
        <v>123654</v>
      </c>
      <c r="H126" s="190">
        <v>123654</v>
      </c>
      <c r="I126" s="150">
        <f t="shared" si="7"/>
        <v>100</v>
      </c>
      <c r="J126" s="44"/>
      <c r="K126" s="34"/>
      <c r="L126" s="34"/>
      <c r="M126" s="42"/>
    </row>
    <row r="127" spans="1:13" s="4" customFormat="1" ht="19.5" customHeight="1" x14ac:dyDescent="0.3">
      <c r="A127" s="1406"/>
      <c r="B127" s="1349" t="s">
        <v>60</v>
      </c>
      <c r="C127" s="1407"/>
      <c r="D127" s="1407"/>
      <c r="E127" s="1408"/>
      <c r="F127" s="190">
        <v>188823</v>
      </c>
      <c r="G127" s="190">
        <v>185714</v>
      </c>
      <c r="H127" s="190">
        <v>185714</v>
      </c>
      <c r="I127" s="150">
        <f t="shared" si="7"/>
        <v>100</v>
      </c>
      <c r="J127" s="44"/>
      <c r="K127" s="34"/>
      <c r="L127" s="34"/>
      <c r="M127" s="42"/>
    </row>
    <row r="128" spans="1:13" s="4" customFormat="1" ht="19.5" customHeight="1" x14ac:dyDescent="0.3">
      <c r="A128" s="1406"/>
      <c r="B128" s="1358" t="s">
        <v>40</v>
      </c>
      <c r="C128" s="1391"/>
      <c r="D128" s="1391"/>
      <c r="E128" s="1355"/>
      <c r="F128" s="196">
        <v>18520</v>
      </c>
      <c r="G128" s="196">
        <v>78267</v>
      </c>
      <c r="H128" s="196">
        <v>77159</v>
      </c>
      <c r="I128" s="150">
        <f t="shared" si="7"/>
        <v>98.584333116128121</v>
      </c>
      <c r="J128" s="44"/>
      <c r="K128" s="42"/>
      <c r="L128" s="42"/>
      <c r="M128" s="42"/>
    </row>
    <row r="129" spans="1:12" ht="24" customHeight="1" thickBot="1" x14ac:dyDescent="0.35">
      <c r="A129" s="1399" t="s">
        <v>238</v>
      </c>
      <c r="B129" s="1410"/>
      <c r="C129" s="1368"/>
      <c r="D129" s="1368"/>
      <c r="E129" s="1368"/>
      <c r="F129" s="193">
        <f>SUM(F118:F128)</f>
        <v>1860785</v>
      </c>
      <c r="G129" s="193">
        <f>SUM(G118:G128)</f>
        <v>2529692</v>
      </c>
      <c r="H129" s="193">
        <f>SUM(H118:H128)</f>
        <v>2480553</v>
      </c>
      <c r="I129" s="166">
        <f t="shared" si="7"/>
        <v>98.057510558597656</v>
      </c>
      <c r="J129" s="44"/>
      <c r="K129" s="42"/>
      <c r="L129" s="42"/>
    </row>
    <row r="130" spans="1:12" ht="25.5" customHeight="1" thickBot="1" x14ac:dyDescent="0.35">
      <c r="A130" s="1399" t="s">
        <v>366</v>
      </c>
      <c r="B130" s="1410"/>
      <c r="C130" s="1368"/>
      <c r="D130" s="1368"/>
      <c r="E130" s="1368"/>
      <c r="F130" s="193">
        <f>+F49+F116+F98+F63+F129</f>
        <v>26651109</v>
      </c>
      <c r="G130" s="193">
        <f>+G49+G116+G98+G63+G129</f>
        <v>28852789</v>
      </c>
      <c r="H130" s="193">
        <f>+H49+H116+H98+H63+H129</f>
        <v>28480103</v>
      </c>
      <c r="I130" s="166">
        <f>+H130/G130*100</f>
        <v>98.708318977413242</v>
      </c>
      <c r="J130" s="44"/>
      <c r="K130" s="42"/>
      <c r="L130" s="42"/>
    </row>
    <row r="131" spans="1:12" ht="21" customHeight="1" x14ac:dyDescent="0.3">
      <c r="J131" s="25"/>
      <c r="K131" s="42"/>
      <c r="L131" s="42"/>
    </row>
    <row r="132" spans="1:12" ht="21" customHeight="1" x14ac:dyDescent="0.3">
      <c r="H132" s="21"/>
      <c r="J132" s="25"/>
      <c r="K132" s="42"/>
      <c r="L132" s="42"/>
    </row>
    <row r="133" spans="1:12" ht="21" customHeight="1" x14ac:dyDescent="0.3">
      <c r="H133" s="21"/>
      <c r="J133" s="25"/>
      <c r="K133" s="42"/>
      <c r="L133" s="42"/>
    </row>
    <row r="134" spans="1:12" ht="21" customHeight="1" x14ac:dyDescent="0.3">
      <c r="H134" s="21"/>
      <c r="J134" s="25"/>
      <c r="K134" s="42"/>
      <c r="L134" s="42"/>
    </row>
    <row r="135" spans="1:12" ht="21" customHeight="1" x14ac:dyDescent="0.3">
      <c r="H135" s="21"/>
      <c r="J135" s="25"/>
      <c r="K135" s="42"/>
      <c r="L135" s="42"/>
    </row>
    <row r="136" spans="1:12" ht="21" customHeight="1" x14ac:dyDescent="0.3">
      <c r="H136" s="21"/>
      <c r="J136" s="25"/>
      <c r="K136" s="42"/>
      <c r="L136" s="42"/>
    </row>
    <row r="137" spans="1:12" ht="21" customHeight="1" x14ac:dyDescent="0.3">
      <c r="H137" s="21"/>
      <c r="J137" s="43"/>
      <c r="K137" s="41"/>
      <c r="L137" s="41"/>
    </row>
    <row r="138" spans="1:12" ht="21" customHeight="1" x14ac:dyDescent="0.3">
      <c r="H138" s="21"/>
      <c r="J138" s="25"/>
      <c r="K138" s="42"/>
      <c r="L138" s="42"/>
    </row>
    <row r="139" spans="1:12" ht="21" customHeight="1" x14ac:dyDescent="0.3">
      <c r="H139" s="21"/>
      <c r="J139" s="25"/>
      <c r="K139" s="42"/>
      <c r="L139" s="42"/>
    </row>
    <row r="142" spans="1:12" ht="21" customHeight="1" x14ac:dyDescent="0.3">
      <c r="H142" s="21"/>
    </row>
    <row r="143" spans="1:12" ht="21" customHeight="1" x14ac:dyDescent="0.3">
      <c r="H143" s="21"/>
    </row>
    <row r="144" spans="1:12" ht="21" customHeight="1" x14ac:dyDescent="0.3">
      <c r="H144" s="21"/>
    </row>
    <row r="145" spans="8:8" ht="21" customHeight="1" x14ac:dyDescent="0.3">
      <c r="H145" s="21"/>
    </row>
    <row r="146" spans="8:8" ht="21" customHeight="1" x14ac:dyDescent="0.3">
      <c r="H146" s="21"/>
    </row>
  </sheetData>
  <mergeCells count="18">
    <mergeCell ref="B124:E124"/>
    <mergeCell ref="C95:E95"/>
    <mergeCell ref="C101:E101"/>
    <mergeCell ref="B100:E100"/>
    <mergeCell ref="C69:E69"/>
    <mergeCell ref="B48:E48"/>
    <mergeCell ref="A1:E1"/>
    <mergeCell ref="B10:E10"/>
    <mergeCell ref="F5:G5"/>
    <mergeCell ref="A2:I2"/>
    <mergeCell ref="C22:E22"/>
    <mergeCell ref="C23:E23"/>
    <mergeCell ref="C28:E28"/>
    <mergeCell ref="C24:E24"/>
    <mergeCell ref="C46:E46"/>
    <mergeCell ref="C25:E25"/>
    <mergeCell ref="C44:E44"/>
    <mergeCell ref="C45:E45"/>
  </mergeCells>
  <phoneticPr fontId="0" type="noConversion"/>
  <printOptions horizontalCentered="1" verticalCentered="1"/>
  <pageMargins left="0.39370078740157483" right="0" top="0" bottom="0" header="0.51181102362204722" footer="0"/>
  <pageSetup paperSize="9" scale="55" orientation="portrait" r:id="rId1"/>
  <headerFooter alignWithMargins="0">
    <oddHeader xml:space="preserve">&amp;R&amp;"Arial,Félkövér"&amp;20 &amp;"Calibri,Félkövér"&amp;14 3. melléklet  a .../2025. (........) önkormányzati rendelethez </oddHeader>
  </headerFooter>
  <rowBreaks count="1" manualBreakCount="1">
    <brk id="63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F3B5-92ED-44DF-B6B0-A2C353EF45CB}">
  <sheetPr>
    <tabColor theme="0"/>
  </sheetPr>
  <dimension ref="A1:E23"/>
  <sheetViews>
    <sheetView zoomScaleNormal="100" workbookViewId="0">
      <selection activeCell="I30" sqref="I30"/>
    </sheetView>
  </sheetViews>
  <sheetFormatPr defaultRowHeight="15" x14ac:dyDescent="0.2"/>
  <cols>
    <col min="1" max="1" width="25.1640625" style="776" customWidth="1"/>
    <col min="2" max="4" width="26.83203125" style="776" customWidth="1"/>
    <col min="5" max="5" width="25.33203125" style="776" customWidth="1"/>
    <col min="6" max="6" width="9.33203125" style="776"/>
    <col min="7" max="7" width="11.5" style="776" bestFit="1" customWidth="1"/>
    <col min="8" max="252" width="9.33203125" style="776"/>
    <col min="253" max="253" width="14.83203125" style="776" customWidth="1"/>
    <col min="254" max="254" width="20.33203125" style="776" customWidth="1"/>
    <col min="255" max="255" width="18.6640625" style="776" bestFit="1" customWidth="1"/>
    <col min="256" max="256" width="16.33203125" style="776" customWidth="1"/>
    <col min="257" max="257" width="22.6640625" style="776" bestFit="1" customWidth="1"/>
    <col min="258" max="259" width="18" style="776" bestFit="1" customWidth="1"/>
    <col min="260" max="260" width="12.6640625" style="776" customWidth="1"/>
    <col min="261" max="261" width="18.1640625" style="776" bestFit="1" customWidth="1"/>
    <col min="262" max="262" width="9.33203125" style="776"/>
    <col min="263" max="263" width="11.5" style="776" bestFit="1" customWidth="1"/>
    <col min="264" max="508" width="9.33203125" style="776"/>
    <col min="509" max="509" width="14.83203125" style="776" customWidth="1"/>
    <col min="510" max="510" width="20.33203125" style="776" customWidth="1"/>
    <col min="511" max="511" width="18.6640625" style="776" bestFit="1" customWidth="1"/>
    <col min="512" max="512" width="16.33203125" style="776" customWidth="1"/>
    <col min="513" max="513" width="22.6640625" style="776" bestFit="1" customWidth="1"/>
    <col min="514" max="515" width="18" style="776" bestFit="1" customWidth="1"/>
    <col min="516" max="516" width="12.6640625" style="776" customWidth="1"/>
    <col min="517" max="517" width="18.1640625" style="776" bestFit="1" customWidth="1"/>
    <col min="518" max="518" width="9.33203125" style="776"/>
    <col min="519" max="519" width="11.5" style="776" bestFit="1" customWidth="1"/>
    <col min="520" max="764" width="9.33203125" style="776"/>
    <col min="765" max="765" width="14.83203125" style="776" customWidth="1"/>
    <col min="766" max="766" width="20.33203125" style="776" customWidth="1"/>
    <col min="767" max="767" width="18.6640625" style="776" bestFit="1" customWidth="1"/>
    <col min="768" max="768" width="16.33203125" style="776" customWidth="1"/>
    <col min="769" max="769" width="22.6640625" style="776" bestFit="1" customWidth="1"/>
    <col min="770" max="771" width="18" style="776" bestFit="1" customWidth="1"/>
    <col min="772" max="772" width="12.6640625" style="776" customWidth="1"/>
    <col min="773" max="773" width="18.1640625" style="776" bestFit="1" customWidth="1"/>
    <col min="774" max="774" width="9.33203125" style="776"/>
    <col min="775" max="775" width="11.5" style="776" bestFit="1" customWidth="1"/>
    <col min="776" max="1020" width="9.33203125" style="776"/>
    <col min="1021" max="1021" width="14.83203125" style="776" customWidth="1"/>
    <col min="1022" max="1022" width="20.33203125" style="776" customWidth="1"/>
    <col min="1023" max="1023" width="18.6640625" style="776" bestFit="1" customWidth="1"/>
    <col min="1024" max="1024" width="16.33203125" style="776" customWidth="1"/>
    <col min="1025" max="1025" width="22.6640625" style="776" bestFit="1" customWidth="1"/>
    <col min="1026" max="1027" width="18" style="776" bestFit="1" customWidth="1"/>
    <col min="1028" max="1028" width="12.6640625" style="776" customWidth="1"/>
    <col min="1029" max="1029" width="18.1640625" style="776" bestFit="1" customWidth="1"/>
    <col min="1030" max="1030" width="9.33203125" style="776"/>
    <col min="1031" max="1031" width="11.5" style="776" bestFit="1" customWidth="1"/>
    <col min="1032" max="1276" width="9.33203125" style="776"/>
    <col min="1277" max="1277" width="14.83203125" style="776" customWidth="1"/>
    <col min="1278" max="1278" width="20.33203125" style="776" customWidth="1"/>
    <col min="1279" max="1279" width="18.6640625" style="776" bestFit="1" customWidth="1"/>
    <col min="1280" max="1280" width="16.33203125" style="776" customWidth="1"/>
    <col min="1281" max="1281" width="22.6640625" style="776" bestFit="1" customWidth="1"/>
    <col min="1282" max="1283" width="18" style="776" bestFit="1" customWidth="1"/>
    <col min="1284" max="1284" width="12.6640625" style="776" customWidth="1"/>
    <col min="1285" max="1285" width="18.1640625" style="776" bestFit="1" customWidth="1"/>
    <col min="1286" max="1286" width="9.33203125" style="776"/>
    <col min="1287" max="1287" width="11.5" style="776" bestFit="1" customWidth="1"/>
    <col min="1288" max="1532" width="9.33203125" style="776"/>
    <col min="1533" max="1533" width="14.83203125" style="776" customWidth="1"/>
    <col min="1534" max="1534" width="20.33203125" style="776" customWidth="1"/>
    <col min="1535" max="1535" width="18.6640625" style="776" bestFit="1" customWidth="1"/>
    <col min="1536" max="1536" width="16.33203125" style="776" customWidth="1"/>
    <col min="1537" max="1537" width="22.6640625" style="776" bestFit="1" customWidth="1"/>
    <col min="1538" max="1539" width="18" style="776" bestFit="1" customWidth="1"/>
    <col min="1540" max="1540" width="12.6640625" style="776" customWidth="1"/>
    <col min="1541" max="1541" width="18.1640625" style="776" bestFit="1" customWidth="1"/>
    <col min="1542" max="1542" width="9.33203125" style="776"/>
    <col min="1543" max="1543" width="11.5" style="776" bestFit="1" customWidth="1"/>
    <col min="1544" max="1788" width="9.33203125" style="776"/>
    <col min="1789" max="1789" width="14.83203125" style="776" customWidth="1"/>
    <col min="1790" max="1790" width="20.33203125" style="776" customWidth="1"/>
    <col min="1791" max="1791" width="18.6640625" style="776" bestFit="1" customWidth="1"/>
    <col min="1792" max="1792" width="16.33203125" style="776" customWidth="1"/>
    <col min="1793" max="1793" width="22.6640625" style="776" bestFit="1" customWidth="1"/>
    <col min="1794" max="1795" width="18" style="776" bestFit="1" customWidth="1"/>
    <col min="1796" max="1796" width="12.6640625" style="776" customWidth="1"/>
    <col min="1797" max="1797" width="18.1640625" style="776" bestFit="1" customWidth="1"/>
    <col min="1798" max="1798" width="9.33203125" style="776"/>
    <col min="1799" max="1799" width="11.5" style="776" bestFit="1" customWidth="1"/>
    <col min="1800" max="2044" width="9.33203125" style="776"/>
    <col min="2045" max="2045" width="14.83203125" style="776" customWidth="1"/>
    <col min="2046" max="2046" width="20.33203125" style="776" customWidth="1"/>
    <col min="2047" max="2047" width="18.6640625" style="776" bestFit="1" customWidth="1"/>
    <col min="2048" max="2048" width="16.33203125" style="776" customWidth="1"/>
    <col min="2049" max="2049" width="22.6640625" style="776" bestFit="1" customWidth="1"/>
    <col min="2050" max="2051" width="18" style="776" bestFit="1" customWidth="1"/>
    <col min="2052" max="2052" width="12.6640625" style="776" customWidth="1"/>
    <col min="2053" max="2053" width="18.1640625" style="776" bestFit="1" customWidth="1"/>
    <col min="2054" max="2054" width="9.33203125" style="776"/>
    <col min="2055" max="2055" width="11.5" style="776" bestFit="1" customWidth="1"/>
    <col min="2056" max="2300" width="9.33203125" style="776"/>
    <col min="2301" max="2301" width="14.83203125" style="776" customWidth="1"/>
    <col min="2302" max="2302" width="20.33203125" style="776" customWidth="1"/>
    <col min="2303" max="2303" width="18.6640625" style="776" bestFit="1" customWidth="1"/>
    <col min="2304" max="2304" width="16.33203125" style="776" customWidth="1"/>
    <col min="2305" max="2305" width="22.6640625" style="776" bestFit="1" customWidth="1"/>
    <col min="2306" max="2307" width="18" style="776" bestFit="1" customWidth="1"/>
    <col min="2308" max="2308" width="12.6640625" style="776" customWidth="1"/>
    <col min="2309" max="2309" width="18.1640625" style="776" bestFit="1" customWidth="1"/>
    <col min="2310" max="2310" width="9.33203125" style="776"/>
    <col min="2311" max="2311" width="11.5" style="776" bestFit="1" customWidth="1"/>
    <col min="2312" max="2556" width="9.33203125" style="776"/>
    <col min="2557" max="2557" width="14.83203125" style="776" customWidth="1"/>
    <col min="2558" max="2558" width="20.33203125" style="776" customWidth="1"/>
    <col min="2559" max="2559" width="18.6640625" style="776" bestFit="1" customWidth="1"/>
    <col min="2560" max="2560" width="16.33203125" style="776" customWidth="1"/>
    <col min="2561" max="2561" width="22.6640625" style="776" bestFit="1" customWidth="1"/>
    <col min="2562" max="2563" width="18" style="776" bestFit="1" customWidth="1"/>
    <col min="2564" max="2564" width="12.6640625" style="776" customWidth="1"/>
    <col min="2565" max="2565" width="18.1640625" style="776" bestFit="1" customWidth="1"/>
    <col min="2566" max="2566" width="9.33203125" style="776"/>
    <col min="2567" max="2567" width="11.5" style="776" bestFit="1" customWidth="1"/>
    <col min="2568" max="2812" width="9.33203125" style="776"/>
    <col min="2813" max="2813" width="14.83203125" style="776" customWidth="1"/>
    <col min="2814" max="2814" width="20.33203125" style="776" customWidth="1"/>
    <col min="2815" max="2815" width="18.6640625" style="776" bestFit="1" customWidth="1"/>
    <col min="2816" max="2816" width="16.33203125" style="776" customWidth="1"/>
    <col min="2817" max="2817" width="22.6640625" style="776" bestFit="1" customWidth="1"/>
    <col min="2818" max="2819" width="18" style="776" bestFit="1" customWidth="1"/>
    <col min="2820" max="2820" width="12.6640625" style="776" customWidth="1"/>
    <col min="2821" max="2821" width="18.1640625" style="776" bestFit="1" customWidth="1"/>
    <col min="2822" max="2822" width="9.33203125" style="776"/>
    <col min="2823" max="2823" width="11.5" style="776" bestFit="1" customWidth="1"/>
    <col min="2824" max="3068" width="9.33203125" style="776"/>
    <col min="3069" max="3069" width="14.83203125" style="776" customWidth="1"/>
    <col min="3070" max="3070" width="20.33203125" style="776" customWidth="1"/>
    <col min="3071" max="3071" width="18.6640625" style="776" bestFit="1" customWidth="1"/>
    <col min="3072" max="3072" width="16.33203125" style="776" customWidth="1"/>
    <col min="3073" max="3073" width="22.6640625" style="776" bestFit="1" customWidth="1"/>
    <col min="3074" max="3075" width="18" style="776" bestFit="1" customWidth="1"/>
    <col min="3076" max="3076" width="12.6640625" style="776" customWidth="1"/>
    <col min="3077" max="3077" width="18.1640625" style="776" bestFit="1" customWidth="1"/>
    <col min="3078" max="3078" width="9.33203125" style="776"/>
    <col min="3079" max="3079" width="11.5" style="776" bestFit="1" customWidth="1"/>
    <col min="3080" max="3324" width="9.33203125" style="776"/>
    <col min="3325" max="3325" width="14.83203125" style="776" customWidth="1"/>
    <col min="3326" max="3326" width="20.33203125" style="776" customWidth="1"/>
    <col min="3327" max="3327" width="18.6640625" style="776" bestFit="1" customWidth="1"/>
    <col min="3328" max="3328" width="16.33203125" style="776" customWidth="1"/>
    <col min="3329" max="3329" width="22.6640625" style="776" bestFit="1" customWidth="1"/>
    <col min="3330" max="3331" width="18" style="776" bestFit="1" customWidth="1"/>
    <col min="3332" max="3332" width="12.6640625" style="776" customWidth="1"/>
    <col min="3333" max="3333" width="18.1640625" style="776" bestFit="1" customWidth="1"/>
    <col min="3334" max="3334" width="9.33203125" style="776"/>
    <col min="3335" max="3335" width="11.5" style="776" bestFit="1" customWidth="1"/>
    <col min="3336" max="3580" width="9.33203125" style="776"/>
    <col min="3581" max="3581" width="14.83203125" style="776" customWidth="1"/>
    <col min="3582" max="3582" width="20.33203125" style="776" customWidth="1"/>
    <col min="3583" max="3583" width="18.6640625" style="776" bestFit="1" customWidth="1"/>
    <col min="3584" max="3584" width="16.33203125" style="776" customWidth="1"/>
    <col min="3585" max="3585" width="22.6640625" style="776" bestFit="1" customWidth="1"/>
    <col min="3586" max="3587" width="18" style="776" bestFit="1" customWidth="1"/>
    <col min="3588" max="3588" width="12.6640625" style="776" customWidth="1"/>
    <col min="3589" max="3589" width="18.1640625" style="776" bestFit="1" customWidth="1"/>
    <col min="3590" max="3590" width="9.33203125" style="776"/>
    <col min="3591" max="3591" width="11.5" style="776" bestFit="1" customWidth="1"/>
    <col min="3592" max="3836" width="9.33203125" style="776"/>
    <col min="3837" max="3837" width="14.83203125" style="776" customWidth="1"/>
    <col min="3838" max="3838" width="20.33203125" style="776" customWidth="1"/>
    <col min="3839" max="3839" width="18.6640625" style="776" bestFit="1" customWidth="1"/>
    <col min="3840" max="3840" width="16.33203125" style="776" customWidth="1"/>
    <col min="3841" max="3841" width="22.6640625" style="776" bestFit="1" customWidth="1"/>
    <col min="3842" max="3843" width="18" style="776" bestFit="1" customWidth="1"/>
    <col min="3844" max="3844" width="12.6640625" style="776" customWidth="1"/>
    <col min="3845" max="3845" width="18.1640625" style="776" bestFit="1" customWidth="1"/>
    <col min="3846" max="3846" width="9.33203125" style="776"/>
    <col min="3847" max="3847" width="11.5" style="776" bestFit="1" customWidth="1"/>
    <col min="3848" max="4092" width="9.33203125" style="776"/>
    <col min="4093" max="4093" width="14.83203125" style="776" customWidth="1"/>
    <col min="4094" max="4094" width="20.33203125" style="776" customWidth="1"/>
    <col min="4095" max="4095" width="18.6640625" style="776" bestFit="1" customWidth="1"/>
    <col min="4096" max="4096" width="16.33203125" style="776" customWidth="1"/>
    <col min="4097" max="4097" width="22.6640625" style="776" bestFit="1" customWidth="1"/>
    <col min="4098" max="4099" width="18" style="776" bestFit="1" customWidth="1"/>
    <col min="4100" max="4100" width="12.6640625" style="776" customWidth="1"/>
    <col min="4101" max="4101" width="18.1640625" style="776" bestFit="1" customWidth="1"/>
    <col min="4102" max="4102" width="9.33203125" style="776"/>
    <col min="4103" max="4103" width="11.5" style="776" bestFit="1" customWidth="1"/>
    <col min="4104" max="4348" width="9.33203125" style="776"/>
    <col min="4349" max="4349" width="14.83203125" style="776" customWidth="1"/>
    <col min="4350" max="4350" width="20.33203125" style="776" customWidth="1"/>
    <col min="4351" max="4351" width="18.6640625" style="776" bestFit="1" customWidth="1"/>
    <col min="4352" max="4352" width="16.33203125" style="776" customWidth="1"/>
    <col min="4353" max="4353" width="22.6640625" style="776" bestFit="1" customWidth="1"/>
    <col min="4354" max="4355" width="18" style="776" bestFit="1" customWidth="1"/>
    <col min="4356" max="4356" width="12.6640625" style="776" customWidth="1"/>
    <col min="4357" max="4357" width="18.1640625" style="776" bestFit="1" customWidth="1"/>
    <col min="4358" max="4358" width="9.33203125" style="776"/>
    <col min="4359" max="4359" width="11.5" style="776" bestFit="1" customWidth="1"/>
    <col min="4360" max="4604" width="9.33203125" style="776"/>
    <col min="4605" max="4605" width="14.83203125" style="776" customWidth="1"/>
    <col min="4606" max="4606" width="20.33203125" style="776" customWidth="1"/>
    <col min="4607" max="4607" width="18.6640625" style="776" bestFit="1" customWidth="1"/>
    <col min="4608" max="4608" width="16.33203125" style="776" customWidth="1"/>
    <col min="4609" max="4609" width="22.6640625" style="776" bestFit="1" customWidth="1"/>
    <col min="4610" max="4611" width="18" style="776" bestFit="1" customWidth="1"/>
    <col min="4612" max="4612" width="12.6640625" style="776" customWidth="1"/>
    <col min="4613" max="4613" width="18.1640625" style="776" bestFit="1" customWidth="1"/>
    <col min="4614" max="4614" width="9.33203125" style="776"/>
    <col min="4615" max="4615" width="11.5" style="776" bestFit="1" customWidth="1"/>
    <col min="4616" max="4860" width="9.33203125" style="776"/>
    <col min="4861" max="4861" width="14.83203125" style="776" customWidth="1"/>
    <col min="4862" max="4862" width="20.33203125" style="776" customWidth="1"/>
    <col min="4863" max="4863" width="18.6640625" style="776" bestFit="1" customWidth="1"/>
    <col min="4864" max="4864" width="16.33203125" style="776" customWidth="1"/>
    <col min="4865" max="4865" width="22.6640625" style="776" bestFit="1" customWidth="1"/>
    <col min="4866" max="4867" width="18" style="776" bestFit="1" customWidth="1"/>
    <col min="4868" max="4868" width="12.6640625" style="776" customWidth="1"/>
    <col min="4869" max="4869" width="18.1640625" style="776" bestFit="1" customWidth="1"/>
    <col min="4870" max="4870" width="9.33203125" style="776"/>
    <col min="4871" max="4871" width="11.5" style="776" bestFit="1" customWidth="1"/>
    <col min="4872" max="5116" width="9.33203125" style="776"/>
    <col min="5117" max="5117" width="14.83203125" style="776" customWidth="1"/>
    <col min="5118" max="5118" width="20.33203125" style="776" customWidth="1"/>
    <col min="5119" max="5119" width="18.6640625" style="776" bestFit="1" customWidth="1"/>
    <col min="5120" max="5120" width="16.33203125" style="776" customWidth="1"/>
    <col min="5121" max="5121" width="22.6640625" style="776" bestFit="1" customWidth="1"/>
    <col min="5122" max="5123" width="18" style="776" bestFit="1" customWidth="1"/>
    <col min="5124" max="5124" width="12.6640625" style="776" customWidth="1"/>
    <col min="5125" max="5125" width="18.1640625" style="776" bestFit="1" customWidth="1"/>
    <col min="5126" max="5126" width="9.33203125" style="776"/>
    <col min="5127" max="5127" width="11.5" style="776" bestFit="1" customWidth="1"/>
    <col min="5128" max="5372" width="9.33203125" style="776"/>
    <col min="5373" max="5373" width="14.83203125" style="776" customWidth="1"/>
    <col min="5374" max="5374" width="20.33203125" style="776" customWidth="1"/>
    <col min="5375" max="5375" width="18.6640625" style="776" bestFit="1" customWidth="1"/>
    <col min="5376" max="5376" width="16.33203125" style="776" customWidth="1"/>
    <col min="5377" max="5377" width="22.6640625" style="776" bestFit="1" customWidth="1"/>
    <col min="5378" max="5379" width="18" style="776" bestFit="1" customWidth="1"/>
    <col min="5380" max="5380" width="12.6640625" style="776" customWidth="1"/>
    <col min="5381" max="5381" width="18.1640625" style="776" bestFit="1" customWidth="1"/>
    <col min="5382" max="5382" width="9.33203125" style="776"/>
    <col min="5383" max="5383" width="11.5" style="776" bestFit="1" customWidth="1"/>
    <col min="5384" max="5628" width="9.33203125" style="776"/>
    <col min="5629" max="5629" width="14.83203125" style="776" customWidth="1"/>
    <col min="5630" max="5630" width="20.33203125" style="776" customWidth="1"/>
    <col min="5631" max="5631" width="18.6640625" style="776" bestFit="1" customWidth="1"/>
    <col min="5632" max="5632" width="16.33203125" style="776" customWidth="1"/>
    <col min="5633" max="5633" width="22.6640625" style="776" bestFit="1" customWidth="1"/>
    <col min="5634" max="5635" width="18" style="776" bestFit="1" customWidth="1"/>
    <col min="5636" max="5636" width="12.6640625" style="776" customWidth="1"/>
    <col min="5637" max="5637" width="18.1640625" style="776" bestFit="1" customWidth="1"/>
    <col min="5638" max="5638" width="9.33203125" style="776"/>
    <col min="5639" max="5639" width="11.5" style="776" bestFit="1" customWidth="1"/>
    <col min="5640" max="5884" width="9.33203125" style="776"/>
    <col min="5885" max="5885" width="14.83203125" style="776" customWidth="1"/>
    <col min="5886" max="5886" width="20.33203125" style="776" customWidth="1"/>
    <col min="5887" max="5887" width="18.6640625" style="776" bestFit="1" customWidth="1"/>
    <col min="5888" max="5888" width="16.33203125" style="776" customWidth="1"/>
    <col min="5889" max="5889" width="22.6640625" style="776" bestFit="1" customWidth="1"/>
    <col min="5890" max="5891" width="18" style="776" bestFit="1" customWidth="1"/>
    <col min="5892" max="5892" width="12.6640625" style="776" customWidth="1"/>
    <col min="5893" max="5893" width="18.1640625" style="776" bestFit="1" customWidth="1"/>
    <col min="5894" max="5894" width="9.33203125" style="776"/>
    <col min="5895" max="5895" width="11.5" style="776" bestFit="1" customWidth="1"/>
    <col min="5896" max="6140" width="9.33203125" style="776"/>
    <col min="6141" max="6141" width="14.83203125" style="776" customWidth="1"/>
    <col min="6142" max="6142" width="20.33203125" style="776" customWidth="1"/>
    <col min="6143" max="6143" width="18.6640625" style="776" bestFit="1" customWidth="1"/>
    <col min="6144" max="6144" width="16.33203125" style="776" customWidth="1"/>
    <col min="6145" max="6145" width="22.6640625" style="776" bestFit="1" customWidth="1"/>
    <col min="6146" max="6147" width="18" style="776" bestFit="1" customWidth="1"/>
    <col min="6148" max="6148" width="12.6640625" style="776" customWidth="1"/>
    <col min="6149" max="6149" width="18.1640625" style="776" bestFit="1" customWidth="1"/>
    <col min="6150" max="6150" width="9.33203125" style="776"/>
    <col min="6151" max="6151" width="11.5" style="776" bestFit="1" customWidth="1"/>
    <col min="6152" max="6396" width="9.33203125" style="776"/>
    <col min="6397" max="6397" width="14.83203125" style="776" customWidth="1"/>
    <col min="6398" max="6398" width="20.33203125" style="776" customWidth="1"/>
    <col min="6399" max="6399" width="18.6640625" style="776" bestFit="1" customWidth="1"/>
    <col min="6400" max="6400" width="16.33203125" style="776" customWidth="1"/>
    <col min="6401" max="6401" width="22.6640625" style="776" bestFit="1" customWidth="1"/>
    <col min="6402" max="6403" width="18" style="776" bestFit="1" customWidth="1"/>
    <col min="6404" max="6404" width="12.6640625" style="776" customWidth="1"/>
    <col min="6405" max="6405" width="18.1640625" style="776" bestFit="1" customWidth="1"/>
    <col min="6406" max="6406" width="9.33203125" style="776"/>
    <col min="6407" max="6407" width="11.5" style="776" bestFit="1" customWidth="1"/>
    <col min="6408" max="6652" width="9.33203125" style="776"/>
    <col min="6653" max="6653" width="14.83203125" style="776" customWidth="1"/>
    <col min="6654" max="6654" width="20.33203125" style="776" customWidth="1"/>
    <col min="6655" max="6655" width="18.6640625" style="776" bestFit="1" customWidth="1"/>
    <col min="6656" max="6656" width="16.33203125" style="776" customWidth="1"/>
    <col min="6657" max="6657" width="22.6640625" style="776" bestFit="1" customWidth="1"/>
    <col min="6658" max="6659" width="18" style="776" bestFit="1" customWidth="1"/>
    <col min="6660" max="6660" width="12.6640625" style="776" customWidth="1"/>
    <col min="6661" max="6661" width="18.1640625" style="776" bestFit="1" customWidth="1"/>
    <col min="6662" max="6662" width="9.33203125" style="776"/>
    <col min="6663" max="6663" width="11.5" style="776" bestFit="1" customWidth="1"/>
    <col min="6664" max="6908" width="9.33203125" style="776"/>
    <col min="6909" max="6909" width="14.83203125" style="776" customWidth="1"/>
    <col min="6910" max="6910" width="20.33203125" style="776" customWidth="1"/>
    <col min="6911" max="6911" width="18.6640625" style="776" bestFit="1" customWidth="1"/>
    <col min="6912" max="6912" width="16.33203125" style="776" customWidth="1"/>
    <col min="6913" max="6913" width="22.6640625" style="776" bestFit="1" customWidth="1"/>
    <col min="6914" max="6915" width="18" style="776" bestFit="1" customWidth="1"/>
    <col min="6916" max="6916" width="12.6640625" style="776" customWidth="1"/>
    <col min="6917" max="6917" width="18.1640625" style="776" bestFit="1" customWidth="1"/>
    <col min="6918" max="6918" width="9.33203125" style="776"/>
    <col min="6919" max="6919" width="11.5" style="776" bestFit="1" customWidth="1"/>
    <col min="6920" max="7164" width="9.33203125" style="776"/>
    <col min="7165" max="7165" width="14.83203125" style="776" customWidth="1"/>
    <col min="7166" max="7166" width="20.33203125" style="776" customWidth="1"/>
    <col min="7167" max="7167" width="18.6640625" style="776" bestFit="1" customWidth="1"/>
    <col min="7168" max="7168" width="16.33203125" style="776" customWidth="1"/>
    <col min="7169" max="7169" width="22.6640625" style="776" bestFit="1" customWidth="1"/>
    <col min="7170" max="7171" width="18" style="776" bestFit="1" customWidth="1"/>
    <col min="7172" max="7172" width="12.6640625" style="776" customWidth="1"/>
    <col min="7173" max="7173" width="18.1640625" style="776" bestFit="1" customWidth="1"/>
    <col min="7174" max="7174" width="9.33203125" style="776"/>
    <col min="7175" max="7175" width="11.5" style="776" bestFit="1" customWidth="1"/>
    <col min="7176" max="7420" width="9.33203125" style="776"/>
    <col min="7421" max="7421" width="14.83203125" style="776" customWidth="1"/>
    <col min="7422" max="7422" width="20.33203125" style="776" customWidth="1"/>
    <col min="7423" max="7423" width="18.6640625" style="776" bestFit="1" customWidth="1"/>
    <col min="7424" max="7424" width="16.33203125" style="776" customWidth="1"/>
    <col min="7425" max="7425" width="22.6640625" style="776" bestFit="1" customWidth="1"/>
    <col min="7426" max="7427" width="18" style="776" bestFit="1" customWidth="1"/>
    <col min="7428" max="7428" width="12.6640625" style="776" customWidth="1"/>
    <col min="7429" max="7429" width="18.1640625" style="776" bestFit="1" customWidth="1"/>
    <col min="7430" max="7430" width="9.33203125" style="776"/>
    <col min="7431" max="7431" width="11.5" style="776" bestFit="1" customWidth="1"/>
    <col min="7432" max="7676" width="9.33203125" style="776"/>
    <col min="7677" max="7677" width="14.83203125" style="776" customWidth="1"/>
    <col min="7678" max="7678" width="20.33203125" style="776" customWidth="1"/>
    <col min="7679" max="7679" width="18.6640625" style="776" bestFit="1" customWidth="1"/>
    <col min="7680" max="7680" width="16.33203125" style="776" customWidth="1"/>
    <col min="7681" max="7681" width="22.6640625" style="776" bestFit="1" customWidth="1"/>
    <col min="7682" max="7683" width="18" style="776" bestFit="1" customWidth="1"/>
    <col min="7684" max="7684" width="12.6640625" style="776" customWidth="1"/>
    <col min="7685" max="7685" width="18.1640625" style="776" bestFit="1" customWidth="1"/>
    <col min="7686" max="7686" width="9.33203125" style="776"/>
    <col min="7687" max="7687" width="11.5" style="776" bestFit="1" customWidth="1"/>
    <col min="7688" max="7932" width="9.33203125" style="776"/>
    <col min="7933" max="7933" width="14.83203125" style="776" customWidth="1"/>
    <col min="7934" max="7934" width="20.33203125" style="776" customWidth="1"/>
    <col min="7935" max="7935" width="18.6640625" style="776" bestFit="1" customWidth="1"/>
    <col min="7936" max="7936" width="16.33203125" style="776" customWidth="1"/>
    <col min="7937" max="7937" width="22.6640625" style="776" bestFit="1" customWidth="1"/>
    <col min="7938" max="7939" width="18" style="776" bestFit="1" customWidth="1"/>
    <col min="7940" max="7940" width="12.6640625" style="776" customWidth="1"/>
    <col min="7941" max="7941" width="18.1640625" style="776" bestFit="1" customWidth="1"/>
    <col min="7942" max="7942" width="9.33203125" style="776"/>
    <col min="7943" max="7943" width="11.5" style="776" bestFit="1" customWidth="1"/>
    <col min="7944" max="8188" width="9.33203125" style="776"/>
    <col min="8189" max="8189" width="14.83203125" style="776" customWidth="1"/>
    <col min="8190" max="8190" width="20.33203125" style="776" customWidth="1"/>
    <col min="8191" max="8191" width="18.6640625" style="776" bestFit="1" customWidth="1"/>
    <col min="8192" max="8192" width="16.33203125" style="776" customWidth="1"/>
    <col min="8193" max="8193" width="22.6640625" style="776" bestFit="1" customWidth="1"/>
    <col min="8194" max="8195" width="18" style="776" bestFit="1" customWidth="1"/>
    <col min="8196" max="8196" width="12.6640625" style="776" customWidth="1"/>
    <col min="8197" max="8197" width="18.1640625" style="776" bestFit="1" customWidth="1"/>
    <col min="8198" max="8198" width="9.33203125" style="776"/>
    <col min="8199" max="8199" width="11.5" style="776" bestFit="1" customWidth="1"/>
    <col min="8200" max="8444" width="9.33203125" style="776"/>
    <col min="8445" max="8445" width="14.83203125" style="776" customWidth="1"/>
    <col min="8446" max="8446" width="20.33203125" style="776" customWidth="1"/>
    <col min="8447" max="8447" width="18.6640625" style="776" bestFit="1" customWidth="1"/>
    <col min="8448" max="8448" width="16.33203125" style="776" customWidth="1"/>
    <col min="8449" max="8449" width="22.6640625" style="776" bestFit="1" customWidth="1"/>
    <col min="8450" max="8451" width="18" style="776" bestFit="1" customWidth="1"/>
    <col min="8452" max="8452" width="12.6640625" style="776" customWidth="1"/>
    <col min="8453" max="8453" width="18.1640625" style="776" bestFit="1" customWidth="1"/>
    <col min="8454" max="8454" width="9.33203125" style="776"/>
    <col min="8455" max="8455" width="11.5" style="776" bestFit="1" customWidth="1"/>
    <col min="8456" max="8700" width="9.33203125" style="776"/>
    <col min="8701" max="8701" width="14.83203125" style="776" customWidth="1"/>
    <col min="8702" max="8702" width="20.33203125" style="776" customWidth="1"/>
    <col min="8703" max="8703" width="18.6640625" style="776" bestFit="1" customWidth="1"/>
    <col min="8704" max="8704" width="16.33203125" style="776" customWidth="1"/>
    <col min="8705" max="8705" width="22.6640625" style="776" bestFit="1" customWidth="1"/>
    <col min="8706" max="8707" width="18" style="776" bestFit="1" customWidth="1"/>
    <col min="8708" max="8708" width="12.6640625" style="776" customWidth="1"/>
    <col min="8709" max="8709" width="18.1640625" style="776" bestFit="1" customWidth="1"/>
    <col min="8710" max="8710" width="9.33203125" style="776"/>
    <col min="8711" max="8711" width="11.5" style="776" bestFit="1" customWidth="1"/>
    <col min="8712" max="8956" width="9.33203125" style="776"/>
    <col min="8957" max="8957" width="14.83203125" style="776" customWidth="1"/>
    <col min="8958" max="8958" width="20.33203125" style="776" customWidth="1"/>
    <col min="8959" max="8959" width="18.6640625" style="776" bestFit="1" customWidth="1"/>
    <col min="8960" max="8960" width="16.33203125" style="776" customWidth="1"/>
    <col min="8961" max="8961" width="22.6640625" style="776" bestFit="1" customWidth="1"/>
    <col min="8962" max="8963" width="18" style="776" bestFit="1" customWidth="1"/>
    <col min="8964" max="8964" width="12.6640625" style="776" customWidth="1"/>
    <col min="8965" max="8965" width="18.1640625" style="776" bestFit="1" customWidth="1"/>
    <col min="8966" max="8966" width="9.33203125" style="776"/>
    <col min="8967" max="8967" width="11.5" style="776" bestFit="1" customWidth="1"/>
    <col min="8968" max="9212" width="9.33203125" style="776"/>
    <col min="9213" max="9213" width="14.83203125" style="776" customWidth="1"/>
    <col min="9214" max="9214" width="20.33203125" style="776" customWidth="1"/>
    <col min="9215" max="9215" width="18.6640625" style="776" bestFit="1" customWidth="1"/>
    <col min="9216" max="9216" width="16.33203125" style="776" customWidth="1"/>
    <col min="9217" max="9217" width="22.6640625" style="776" bestFit="1" customWidth="1"/>
    <col min="9218" max="9219" width="18" style="776" bestFit="1" customWidth="1"/>
    <col min="9220" max="9220" width="12.6640625" style="776" customWidth="1"/>
    <col min="9221" max="9221" width="18.1640625" style="776" bestFit="1" customWidth="1"/>
    <col min="9222" max="9222" width="9.33203125" style="776"/>
    <col min="9223" max="9223" width="11.5" style="776" bestFit="1" customWidth="1"/>
    <col min="9224" max="9468" width="9.33203125" style="776"/>
    <col min="9469" max="9469" width="14.83203125" style="776" customWidth="1"/>
    <col min="9470" max="9470" width="20.33203125" style="776" customWidth="1"/>
    <col min="9471" max="9471" width="18.6640625" style="776" bestFit="1" customWidth="1"/>
    <col min="9472" max="9472" width="16.33203125" style="776" customWidth="1"/>
    <col min="9473" max="9473" width="22.6640625" style="776" bestFit="1" customWidth="1"/>
    <col min="9474" max="9475" width="18" style="776" bestFit="1" customWidth="1"/>
    <col min="9476" max="9476" width="12.6640625" style="776" customWidth="1"/>
    <col min="9477" max="9477" width="18.1640625" style="776" bestFit="1" customWidth="1"/>
    <col min="9478" max="9478" width="9.33203125" style="776"/>
    <col min="9479" max="9479" width="11.5" style="776" bestFit="1" customWidth="1"/>
    <col min="9480" max="9724" width="9.33203125" style="776"/>
    <col min="9725" max="9725" width="14.83203125" style="776" customWidth="1"/>
    <col min="9726" max="9726" width="20.33203125" style="776" customWidth="1"/>
    <col min="9727" max="9727" width="18.6640625" style="776" bestFit="1" customWidth="1"/>
    <col min="9728" max="9728" width="16.33203125" style="776" customWidth="1"/>
    <col min="9729" max="9729" width="22.6640625" style="776" bestFit="1" customWidth="1"/>
    <col min="9730" max="9731" width="18" style="776" bestFit="1" customWidth="1"/>
    <col min="9732" max="9732" width="12.6640625" style="776" customWidth="1"/>
    <col min="9733" max="9733" width="18.1640625" style="776" bestFit="1" customWidth="1"/>
    <col min="9734" max="9734" width="9.33203125" style="776"/>
    <col min="9735" max="9735" width="11.5" style="776" bestFit="1" customWidth="1"/>
    <col min="9736" max="9980" width="9.33203125" style="776"/>
    <col min="9981" max="9981" width="14.83203125" style="776" customWidth="1"/>
    <col min="9982" max="9982" width="20.33203125" style="776" customWidth="1"/>
    <col min="9983" max="9983" width="18.6640625" style="776" bestFit="1" customWidth="1"/>
    <col min="9984" max="9984" width="16.33203125" style="776" customWidth="1"/>
    <col min="9985" max="9985" width="22.6640625" style="776" bestFit="1" customWidth="1"/>
    <col min="9986" max="9987" width="18" style="776" bestFit="1" customWidth="1"/>
    <col min="9988" max="9988" width="12.6640625" style="776" customWidth="1"/>
    <col min="9989" max="9989" width="18.1640625" style="776" bestFit="1" customWidth="1"/>
    <col min="9990" max="9990" width="9.33203125" style="776"/>
    <col min="9991" max="9991" width="11.5" style="776" bestFit="1" customWidth="1"/>
    <col min="9992" max="10236" width="9.33203125" style="776"/>
    <col min="10237" max="10237" width="14.83203125" style="776" customWidth="1"/>
    <col min="10238" max="10238" width="20.33203125" style="776" customWidth="1"/>
    <col min="10239" max="10239" width="18.6640625" style="776" bestFit="1" customWidth="1"/>
    <col min="10240" max="10240" width="16.33203125" style="776" customWidth="1"/>
    <col min="10241" max="10241" width="22.6640625" style="776" bestFit="1" customWidth="1"/>
    <col min="10242" max="10243" width="18" style="776" bestFit="1" customWidth="1"/>
    <col min="10244" max="10244" width="12.6640625" style="776" customWidth="1"/>
    <col min="10245" max="10245" width="18.1640625" style="776" bestFit="1" customWidth="1"/>
    <col min="10246" max="10246" width="9.33203125" style="776"/>
    <col min="10247" max="10247" width="11.5" style="776" bestFit="1" customWidth="1"/>
    <col min="10248" max="10492" width="9.33203125" style="776"/>
    <col min="10493" max="10493" width="14.83203125" style="776" customWidth="1"/>
    <col min="10494" max="10494" width="20.33203125" style="776" customWidth="1"/>
    <col min="10495" max="10495" width="18.6640625" style="776" bestFit="1" customWidth="1"/>
    <col min="10496" max="10496" width="16.33203125" style="776" customWidth="1"/>
    <col min="10497" max="10497" width="22.6640625" style="776" bestFit="1" customWidth="1"/>
    <col min="10498" max="10499" width="18" style="776" bestFit="1" customWidth="1"/>
    <col min="10500" max="10500" width="12.6640625" style="776" customWidth="1"/>
    <col min="10501" max="10501" width="18.1640625" style="776" bestFit="1" customWidth="1"/>
    <col min="10502" max="10502" width="9.33203125" style="776"/>
    <col min="10503" max="10503" width="11.5" style="776" bestFit="1" customWidth="1"/>
    <col min="10504" max="10748" width="9.33203125" style="776"/>
    <col min="10749" max="10749" width="14.83203125" style="776" customWidth="1"/>
    <col min="10750" max="10750" width="20.33203125" style="776" customWidth="1"/>
    <col min="10751" max="10751" width="18.6640625" style="776" bestFit="1" customWidth="1"/>
    <col min="10752" max="10752" width="16.33203125" style="776" customWidth="1"/>
    <col min="10753" max="10753" width="22.6640625" style="776" bestFit="1" customWidth="1"/>
    <col min="10754" max="10755" width="18" style="776" bestFit="1" customWidth="1"/>
    <col min="10756" max="10756" width="12.6640625" style="776" customWidth="1"/>
    <col min="10757" max="10757" width="18.1640625" style="776" bestFit="1" customWidth="1"/>
    <col min="10758" max="10758" width="9.33203125" style="776"/>
    <col min="10759" max="10759" width="11.5" style="776" bestFit="1" customWidth="1"/>
    <col min="10760" max="11004" width="9.33203125" style="776"/>
    <col min="11005" max="11005" width="14.83203125" style="776" customWidth="1"/>
    <col min="11006" max="11006" width="20.33203125" style="776" customWidth="1"/>
    <col min="11007" max="11007" width="18.6640625" style="776" bestFit="1" customWidth="1"/>
    <col min="11008" max="11008" width="16.33203125" style="776" customWidth="1"/>
    <col min="11009" max="11009" width="22.6640625" style="776" bestFit="1" customWidth="1"/>
    <col min="11010" max="11011" width="18" style="776" bestFit="1" customWidth="1"/>
    <col min="11012" max="11012" width="12.6640625" style="776" customWidth="1"/>
    <col min="11013" max="11013" width="18.1640625" style="776" bestFit="1" customWidth="1"/>
    <col min="11014" max="11014" width="9.33203125" style="776"/>
    <col min="11015" max="11015" width="11.5" style="776" bestFit="1" customWidth="1"/>
    <col min="11016" max="11260" width="9.33203125" style="776"/>
    <col min="11261" max="11261" width="14.83203125" style="776" customWidth="1"/>
    <col min="11262" max="11262" width="20.33203125" style="776" customWidth="1"/>
    <col min="11263" max="11263" width="18.6640625" style="776" bestFit="1" customWidth="1"/>
    <col min="11264" max="11264" width="16.33203125" style="776" customWidth="1"/>
    <col min="11265" max="11265" width="22.6640625" style="776" bestFit="1" customWidth="1"/>
    <col min="11266" max="11267" width="18" style="776" bestFit="1" customWidth="1"/>
    <col min="11268" max="11268" width="12.6640625" style="776" customWidth="1"/>
    <col min="11269" max="11269" width="18.1640625" style="776" bestFit="1" customWidth="1"/>
    <col min="11270" max="11270" width="9.33203125" style="776"/>
    <col min="11271" max="11271" width="11.5" style="776" bestFit="1" customWidth="1"/>
    <col min="11272" max="11516" width="9.33203125" style="776"/>
    <col min="11517" max="11517" width="14.83203125" style="776" customWidth="1"/>
    <col min="11518" max="11518" width="20.33203125" style="776" customWidth="1"/>
    <col min="11519" max="11519" width="18.6640625" style="776" bestFit="1" customWidth="1"/>
    <col min="11520" max="11520" width="16.33203125" style="776" customWidth="1"/>
    <col min="11521" max="11521" width="22.6640625" style="776" bestFit="1" customWidth="1"/>
    <col min="11522" max="11523" width="18" style="776" bestFit="1" customWidth="1"/>
    <col min="11524" max="11524" width="12.6640625" style="776" customWidth="1"/>
    <col min="11525" max="11525" width="18.1640625" style="776" bestFit="1" customWidth="1"/>
    <col min="11526" max="11526" width="9.33203125" style="776"/>
    <col min="11527" max="11527" width="11.5" style="776" bestFit="1" customWidth="1"/>
    <col min="11528" max="11772" width="9.33203125" style="776"/>
    <col min="11773" max="11773" width="14.83203125" style="776" customWidth="1"/>
    <col min="11774" max="11774" width="20.33203125" style="776" customWidth="1"/>
    <col min="11775" max="11775" width="18.6640625" style="776" bestFit="1" customWidth="1"/>
    <col min="11776" max="11776" width="16.33203125" style="776" customWidth="1"/>
    <col min="11777" max="11777" width="22.6640625" style="776" bestFit="1" customWidth="1"/>
    <col min="11778" max="11779" width="18" style="776" bestFit="1" customWidth="1"/>
    <col min="11780" max="11780" width="12.6640625" style="776" customWidth="1"/>
    <col min="11781" max="11781" width="18.1640625" style="776" bestFit="1" customWidth="1"/>
    <col min="11782" max="11782" width="9.33203125" style="776"/>
    <col min="11783" max="11783" width="11.5" style="776" bestFit="1" customWidth="1"/>
    <col min="11784" max="12028" width="9.33203125" style="776"/>
    <col min="12029" max="12029" width="14.83203125" style="776" customWidth="1"/>
    <col min="12030" max="12030" width="20.33203125" style="776" customWidth="1"/>
    <col min="12031" max="12031" width="18.6640625" style="776" bestFit="1" customWidth="1"/>
    <col min="12032" max="12032" width="16.33203125" style="776" customWidth="1"/>
    <col min="12033" max="12033" width="22.6640625" style="776" bestFit="1" customWidth="1"/>
    <col min="12034" max="12035" width="18" style="776" bestFit="1" customWidth="1"/>
    <col min="12036" max="12036" width="12.6640625" style="776" customWidth="1"/>
    <col min="12037" max="12037" width="18.1640625" style="776" bestFit="1" customWidth="1"/>
    <col min="12038" max="12038" width="9.33203125" style="776"/>
    <col min="12039" max="12039" width="11.5" style="776" bestFit="1" customWidth="1"/>
    <col min="12040" max="12284" width="9.33203125" style="776"/>
    <col min="12285" max="12285" width="14.83203125" style="776" customWidth="1"/>
    <col min="12286" max="12286" width="20.33203125" style="776" customWidth="1"/>
    <col min="12287" max="12287" width="18.6640625" style="776" bestFit="1" customWidth="1"/>
    <col min="12288" max="12288" width="16.33203125" style="776" customWidth="1"/>
    <col min="12289" max="12289" width="22.6640625" style="776" bestFit="1" customWidth="1"/>
    <col min="12290" max="12291" width="18" style="776" bestFit="1" customWidth="1"/>
    <col min="12292" max="12292" width="12.6640625" style="776" customWidth="1"/>
    <col min="12293" max="12293" width="18.1640625" style="776" bestFit="1" customWidth="1"/>
    <col min="12294" max="12294" width="9.33203125" style="776"/>
    <col min="12295" max="12295" width="11.5" style="776" bestFit="1" customWidth="1"/>
    <col min="12296" max="12540" width="9.33203125" style="776"/>
    <col min="12541" max="12541" width="14.83203125" style="776" customWidth="1"/>
    <col min="12542" max="12542" width="20.33203125" style="776" customWidth="1"/>
    <col min="12543" max="12543" width="18.6640625" style="776" bestFit="1" customWidth="1"/>
    <col min="12544" max="12544" width="16.33203125" style="776" customWidth="1"/>
    <col min="12545" max="12545" width="22.6640625" style="776" bestFit="1" customWidth="1"/>
    <col min="12546" max="12547" width="18" style="776" bestFit="1" customWidth="1"/>
    <col min="12548" max="12548" width="12.6640625" style="776" customWidth="1"/>
    <col min="12549" max="12549" width="18.1640625" style="776" bestFit="1" customWidth="1"/>
    <col min="12550" max="12550" width="9.33203125" style="776"/>
    <col min="12551" max="12551" width="11.5" style="776" bestFit="1" customWidth="1"/>
    <col min="12552" max="12796" width="9.33203125" style="776"/>
    <col min="12797" max="12797" width="14.83203125" style="776" customWidth="1"/>
    <col min="12798" max="12798" width="20.33203125" style="776" customWidth="1"/>
    <col min="12799" max="12799" width="18.6640625" style="776" bestFit="1" customWidth="1"/>
    <col min="12800" max="12800" width="16.33203125" style="776" customWidth="1"/>
    <col min="12801" max="12801" width="22.6640625" style="776" bestFit="1" customWidth="1"/>
    <col min="12802" max="12803" width="18" style="776" bestFit="1" customWidth="1"/>
    <col min="12804" max="12804" width="12.6640625" style="776" customWidth="1"/>
    <col min="12805" max="12805" width="18.1640625" style="776" bestFit="1" customWidth="1"/>
    <col min="12806" max="12806" width="9.33203125" style="776"/>
    <col min="12807" max="12807" width="11.5" style="776" bestFit="1" customWidth="1"/>
    <col min="12808" max="13052" width="9.33203125" style="776"/>
    <col min="13053" max="13053" width="14.83203125" style="776" customWidth="1"/>
    <col min="13054" max="13054" width="20.33203125" style="776" customWidth="1"/>
    <col min="13055" max="13055" width="18.6640625" style="776" bestFit="1" customWidth="1"/>
    <col min="13056" max="13056" width="16.33203125" style="776" customWidth="1"/>
    <col min="13057" max="13057" width="22.6640625" style="776" bestFit="1" customWidth="1"/>
    <col min="13058" max="13059" width="18" style="776" bestFit="1" customWidth="1"/>
    <col min="13060" max="13060" width="12.6640625" style="776" customWidth="1"/>
    <col min="13061" max="13061" width="18.1640625" style="776" bestFit="1" customWidth="1"/>
    <col min="13062" max="13062" width="9.33203125" style="776"/>
    <col min="13063" max="13063" width="11.5" style="776" bestFit="1" customWidth="1"/>
    <col min="13064" max="13308" width="9.33203125" style="776"/>
    <col min="13309" max="13309" width="14.83203125" style="776" customWidth="1"/>
    <col min="13310" max="13310" width="20.33203125" style="776" customWidth="1"/>
    <col min="13311" max="13311" width="18.6640625" style="776" bestFit="1" customWidth="1"/>
    <col min="13312" max="13312" width="16.33203125" style="776" customWidth="1"/>
    <col min="13313" max="13313" width="22.6640625" style="776" bestFit="1" customWidth="1"/>
    <col min="13314" max="13315" width="18" style="776" bestFit="1" customWidth="1"/>
    <col min="13316" max="13316" width="12.6640625" style="776" customWidth="1"/>
    <col min="13317" max="13317" width="18.1640625" style="776" bestFit="1" customWidth="1"/>
    <col min="13318" max="13318" width="9.33203125" style="776"/>
    <col min="13319" max="13319" width="11.5" style="776" bestFit="1" customWidth="1"/>
    <col min="13320" max="13564" width="9.33203125" style="776"/>
    <col min="13565" max="13565" width="14.83203125" style="776" customWidth="1"/>
    <col min="13566" max="13566" width="20.33203125" style="776" customWidth="1"/>
    <col min="13567" max="13567" width="18.6640625" style="776" bestFit="1" customWidth="1"/>
    <col min="13568" max="13568" width="16.33203125" style="776" customWidth="1"/>
    <col min="13569" max="13569" width="22.6640625" style="776" bestFit="1" customWidth="1"/>
    <col min="13570" max="13571" width="18" style="776" bestFit="1" customWidth="1"/>
    <col min="13572" max="13572" width="12.6640625" style="776" customWidth="1"/>
    <col min="13573" max="13573" width="18.1640625" style="776" bestFit="1" customWidth="1"/>
    <col min="13574" max="13574" width="9.33203125" style="776"/>
    <col min="13575" max="13575" width="11.5" style="776" bestFit="1" customWidth="1"/>
    <col min="13576" max="13820" width="9.33203125" style="776"/>
    <col min="13821" max="13821" width="14.83203125" style="776" customWidth="1"/>
    <col min="13822" max="13822" width="20.33203125" style="776" customWidth="1"/>
    <col min="13823" max="13823" width="18.6640625" style="776" bestFit="1" customWidth="1"/>
    <col min="13824" max="13824" width="16.33203125" style="776" customWidth="1"/>
    <col min="13825" max="13825" width="22.6640625" style="776" bestFit="1" customWidth="1"/>
    <col min="13826" max="13827" width="18" style="776" bestFit="1" customWidth="1"/>
    <col min="13828" max="13828" width="12.6640625" style="776" customWidth="1"/>
    <col min="13829" max="13829" width="18.1640625" style="776" bestFit="1" customWidth="1"/>
    <col min="13830" max="13830" width="9.33203125" style="776"/>
    <col min="13831" max="13831" width="11.5" style="776" bestFit="1" customWidth="1"/>
    <col min="13832" max="14076" width="9.33203125" style="776"/>
    <col min="14077" max="14077" width="14.83203125" style="776" customWidth="1"/>
    <col min="14078" max="14078" width="20.33203125" style="776" customWidth="1"/>
    <col min="14079" max="14079" width="18.6640625" style="776" bestFit="1" customWidth="1"/>
    <col min="14080" max="14080" width="16.33203125" style="776" customWidth="1"/>
    <col min="14081" max="14081" width="22.6640625" style="776" bestFit="1" customWidth="1"/>
    <col min="14082" max="14083" width="18" style="776" bestFit="1" customWidth="1"/>
    <col min="14084" max="14084" width="12.6640625" style="776" customWidth="1"/>
    <col min="14085" max="14085" width="18.1640625" style="776" bestFit="1" customWidth="1"/>
    <col min="14086" max="14086" width="9.33203125" style="776"/>
    <col min="14087" max="14087" width="11.5" style="776" bestFit="1" customWidth="1"/>
    <col min="14088" max="14332" width="9.33203125" style="776"/>
    <col min="14333" max="14333" width="14.83203125" style="776" customWidth="1"/>
    <col min="14334" max="14334" width="20.33203125" style="776" customWidth="1"/>
    <col min="14335" max="14335" width="18.6640625" style="776" bestFit="1" customWidth="1"/>
    <col min="14336" max="14336" width="16.33203125" style="776" customWidth="1"/>
    <col min="14337" max="14337" width="22.6640625" style="776" bestFit="1" customWidth="1"/>
    <col min="14338" max="14339" width="18" style="776" bestFit="1" customWidth="1"/>
    <col min="14340" max="14340" width="12.6640625" style="776" customWidth="1"/>
    <col min="14341" max="14341" width="18.1640625" style="776" bestFit="1" customWidth="1"/>
    <col min="14342" max="14342" width="9.33203125" style="776"/>
    <col min="14343" max="14343" width="11.5" style="776" bestFit="1" customWidth="1"/>
    <col min="14344" max="14588" width="9.33203125" style="776"/>
    <col min="14589" max="14589" width="14.83203125" style="776" customWidth="1"/>
    <col min="14590" max="14590" width="20.33203125" style="776" customWidth="1"/>
    <col min="14591" max="14591" width="18.6640625" style="776" bestFit="1" customWidth="1"/>
    <col min="14592" max="14592" width="16.33203125" style="776" customWidth="1"/>
    <col min="14593" max="14593" width="22.6640625" style="776" bestFit="1" customWidth="1"/>
    <col min="14594" max="14595" width="18" style="776" bestFit="1" customWidth="1"/>
    <col min="14596" max="14596" width="12.6640625" style="776" customWidth="1"/>
    <col min="14597" max="14597" width="18.1640625" style="776" bestFit="1" customWidth="1"/>
    <col min="14598" max="14598" width="9.33203125" style="776"/>
    <col min="14599" max="14599" width="11.5" style="776" bestFit="1" customWidth="1"/>
    <col min="14600" max="14844" width="9.33203125" style="776"/>
    <col min="14845" max="14845" width="14.83203125" style="776" customWidth="1"/>
    <col min="14846" max="14846" width="20.33203125" style="776" customWidth="1"/>
    <col min="14847" max="14847" width="18.6640625" style="776" bestFit="1" customWidth="1"/>
    <col min="14848" max="14848" width="16.33203125" style="776" customWidth="1"/>
    <col min="14849" max="14849" width="22.6640625" style="776" bestFit="1" customWidth="1"/>
    <col min="14850" max="14851" width="18" style="776" bestFit="1" customWidth="1"/>
    <col min="14852" max="14852" width="12.6640625" style="776" customWidth="1"/>
    <col min="14853" max="14853" width="18.1640625" style="776" bestFit="1" customWidth="1"/>
    <col min="14854" max="14854" width="9.33203125" style="776"/>
    <col min="14855" max="14855" width="11.5" style="776" bestFit="1" customWidth="1"/>
    <col min="14856" max="15100" width="9.33203125" style="776"/>
    <col min="15101" max="15101" width="14.83203125" style="776" customWidth="1"/>
    <col min="15102" max="15102" width="20.33203125" style="776" customWidth="1"/>
    <col min="15103" max="15103" width="18.6640625" style="776" bestFit="1" customWidth="1"/>
    <col min="15104" max="15104" width="16.33203125" style="776" customWidth="1"/>
    <col min="15105" max="15105" width="22.6640625" style="776" bestFit="1" customWidth="1"/>
    <col min="15106" max="15107" width="18" style="776" bestFit="1" customWidth="1"/>
    <col min="15108" max="15108" width="12.6640625" style="776" customWidth="1"/>
    <col min="15109" max="15109" width="18.1640625" style="776" bestFit="1" customWidth="1"/>
    <col min="15110" max="15110" width="9.33203125" style="776"/>
    <col min="15111" max="15111" width="11.5" style="776" bestFit="1" customWidth="1"/>
    <col min="15112" max="15356" width="9.33203125" style="776"/>
    <col min="15357" max="15357" width="14.83203125" style="776" customWidth="1"/>
    <col min="15358" max="15358" width="20.33203125" style="776" customWidth="1"/>
    <col min="15359" max="15359" width="18.6640625" style="776" bestFit="1" customWidth="1"/>
    <col min="15360" max="15360" width="16.33203125" style="776" customWidth="1"/>
    <col min="15361" max="15361" width="22.6640625" style="776" bestFit="1" customWidth="1"/>
    <col min="15362" max="15363" width="18" style="776" bestFit="1" customWidth="1"/>
    <col min="15364" max="15364" width="12.6640625" style="776" customWidth="1"/>
    <col min="15365" max="15365" width="18.1640625" style="776" bestFit="1" customWidth="1"/>
    <col min="15366" max="15366" width="9.33203125" style="776"/>
    <col min="15367" max="15367" width="11.5" style="776" bestFit="1" customWidth="1"/>
    <col min="15368" max="15612" width="9.33203125" style="776"/>
    <col min="15613" max="15613" width="14.83203125" style="776" customWidth="1"/>
    <col min="15614" max="15614" width="20.33203125" style="776" customWidth="1"/>
    <col min="15615" max="15615" width="18.6640625" style="776" bestFit="1" customWidth="1"/>
    <col min="15616" max="15616" width="16.33203125" style="776" customWidth="1"/>
    <col min="15617" max="15617" width="22.6640625" style="776" bestFit="1" customWidth="1"/>
    <col min="15618" max="15619" width="18" style="776" bestFit="1" customWidth="1"/>
    <col min="15620" max="15620" width="12.6640625" style="776" customWidth="1"/>
    <col min="15621" max="15621" width="18.1640625" style="776" bestFit="1" customWidth="1"/>
    <col min="15622" max="15622" width="9.33203125" style="776"/>
    <col min="15623" max="15623" width="11.5" style="776" bestFit="1" customWidth="1"/>
    <col min="15624" max="15868" width="9.33203125" style="776"/>
    <col min="15869" max="15869" width="14.83203125" style="776" customWidth="1"/>
    <col min="15870" max="15870" width="20.33203125" style="776" customWidth="1"/>
    <col min="15871" max="15871" width="18.6640625" style="776" bestFit="1" customWidth="1"/>
    <col min="15872" max="15872" width="16.33203125" style="776" customWidth="1"/>
    <col min="15873" max="15873" width="22.6640625" style="776" bestFit="1" customWidth="1"/>
    <col min="15874" max="15875" width="18" style="776" bestFit="1" customWidth="1"/>
    <col min="15876" max="15876" width="12.6640625" style="776" customWidth="1"/>
    <col min="15877" max="15877" width="18.1640625" style="776" bestFit="1" customWidth="1"/>
    <col min="15878" max="15878" width="9.33203125" style="776"/>
    <col min="15879" max="15879" width="11.5" style="776" bestFit="1" customWidth="1"/>
    <col min="15880" max="16124" width="9.33203125" style="776"/>
    <col min="16125" max="16125" width="14.83203125" style="776" customWidth="1"/>
    <col min="16126" max="16126" width="20.33203125" style="776" customWidth="1"/>
    <col min="16127" max="16127" width="18.6640625" style="776" bestFit="1" customWidth="1"/>
    <col min="16128" max="16128" width="16.33203125" style="776" customWidth="1"/>
    <col min="16129" max="16129" width="22.6640625" style="776" bestFit="1" customWidth="1"/>
    <col min="16130" max="16131" width="18" style="776" bestFit="1" customWidth="1"/>
    <col min="16132" max="16132" width="12.6640625" style="776" customWidth="1"/>
    <col min="16133" max="16133" width="18.1640625" style="776" bestFit="1" customWidth="1"/>
    <col min="16134" max="16134" width="9.33203125" style="776"/>
    <col min="16135" max="16135" width="11.5" style="776" bestFit="1" customWidth="1"/>
    <col min="16136" max="16384" width="9.33203125" style="776"/>
  </cols>
  <sheetData>
    <row r="1" spans="1:5" x14ac:dyDescent="0.2">
      <c r="B1" s="777"/>
    </row>
    <row r="2" spans="1:5" ht="47.25" customHeight="1" x14ac:dyDescent="0.25">
      <c r="A2" s="2095" t="s">
        <v>1099</v>
      </c>
      <c r="B2" s="2095"/>
      <c r="C2" s="2095"/>
      <c r="D2" s="2095"/>
      <c r="E2" s="778"/>
    </row>
    <row r="3" spans="1:5" ht="24.75" customHeight="1" x14ac:dyDescent="0.25">
      <c r="A3" s="2096" t="s">
        <v>1100</v>
      </c>
      <c r="B3" s="2096"/>
      <c r="C3" s="2096"/>
      <c r="D3" s="2096"/>
      <c r="E3" s="778"/>
    </row>
    <row r="4" spans="1:5" ht="16.5" customHeight="1" x14ac:dyDescent="0.25">
      <c r="A4" s="779"/>
      <c r="B4" s="779"/>
      <c r="C4" s="779"/>
      <c r="D4" s="779"/>
    </row>
    <row r="5" spans="1:5" ht="16.5" thickBot="1" x14ac:dyDescent="0.3">
      <c r="A5" s="780"/>
      <c r="B5" s="780"/>
      <c r="C5" s="780"/>
      <c r="D5" s="781" t="s">
        <v>1101</v>
      </c>
    </row>
    <row r="6" spans="1:5" ht="36.75" customHeight="1" x14ac:dyDescent="0.2">
      <c r="A6" s="2097" t="s">
        <v>1102</v>
      </c>
      <c r="B6" s="2099" t="s">
        <v>1103</v>
      </c>
      <c r="C6" s="2100"/>
      <c r="D6" s="2101"/>
    </row>
    <row r="7" spans="1:5" ht="29.25" customHeight="1" thickBot="1" x14ac:dyDescent="0.25">
      <c r="A7" s="2098"/>
      <c r="B7" s="782" t="s">
        <v>1104</v>
      </c>
      <c r="C7" s="801" t="s">
        <v>1112</v>
      </c>
      <c r="D7" s="783" t="s">
        <v>657</v>
      </c>
    </row>
    <row r="8" spans="1:5" ht="22.5" customHeight="1" x14ac:dyDescent="0.25">
      <c r="A8" s="784" t="s">
        <v>590</v>
      </c>
      <c r="B8" s="785">
        <v>120749362</v>
      </c>
      <c r="C8" s="1128">
        <v>63000000</v>
      </c>
      <c r="D8" s="786">
        <f t="shared" ref="D8:D15" si="0">SUM(B8:C8)</f>
        <v>183749362</v>
      </c>
    </row>
    <row r="9" spans="1:5" ht="22.5" customHeight="1" x14ac:dyDescent="0.25">
      <c r="A9" s="784" t="s">
        <v>1106</v>
      </c>
      <c r="B9" s="785">
        <v>120749368</v>
      </c>
      <c r="C9" s="1128">
        <f>(B15-B8)*(0.065+0.0185)</f>
        <v>55034038.129500002</v>
      </c>
      <c r="D9" s="786">
        <f t="shared" si="0"/>
        <v>175783406.1295</v>
      </c>
    </row>
    <row r="10" spans="1:5" ht="22.5" customHeight="1" x14ac:dyDescent="0.25">
      <c r="A10" s="784" t="s">
        <v>1107</v>
      </c>
      <c r="B10" s="785">
        <v>120749366</v>
      </c>
      <c r="C10" s="1128">
        <f>(B15-B8-B9)*(0.065+0.0185)</f>
        <v>44951465.901500002</v>
      </c>
      <c r="D10" s="786">
        <f t="shared" si="0"/>
        <v>165700831.90149999</v>
      </c>
    </row>
    <row r="11" spans="1:5" ht="22.5" customHeight="1" x14ac:dyDescent="0.25">
      <c r="A11" s="784" t="s">
        <v>1108</v>
      </c>
      <c r="B11" s="785">
        <v>120749364</v>
      </c>
      <c r="C11" s="1128">
        <f>(B15-B10-B9-B8)*(0.065+0.0185)</f>
        <v>34868893.840500005</v>
      </c>
      <c r="D11" s="786">
        <f t="shared" si="0"/>
        <v>155618257.8405</v>
      </c>
    </row>
    <row r="12" spans="1:5" ht="22.5" customHeight="1" x14ac:dyDescent="0.25">
      <c r="A12" s="784" t="s">
        <v>1109</v>
      </c>
      <c r="B12" s="785">
        <v>120749363</v>
      </c>
      <c r="C12" s="1128">
        <f>(B15-B11-B10-B9-B8)*(0.065+0.0185)</f>
        <v>24786321.9465</v>
      </c>
      <c r="D12" s="786">
        <f t="shared" si="0"/>
        <v>145535684.9465</v>
      </c>
    </row>
    <row r="13" spans="1:5" ht="22.5" customHeight="1" x14ac:dyDescent="0.25">
      <c r="A13" s="784" t="s">
        <v>1110</v>
      </c>
      <c r="B13" s="785">
        <v>120749364</v>
      </c>
      <c r="C13" s="1128">
        <f>(B15-B12-B11-B10-B9-B8)*(0.065+0.0185)</f>
        <v>14703750.136</v>
      </c>
      <c r="D13" s="786">
        <f t="shared" si="0"/>
        <v>135453114.13600001</v>
      </c>
    </row>
    <row r="14" spans="1:5" ht="22.5" customHeight="1" thickBot="1" x14ac:dyDescent="0.3">
      <c r="A14" s="787" t="s">
        <v>1111</v>
      </c>
      <c r="B14" s="788">
        <f>55343458-6</f>
        <v>55343452</v>
      </c>
      <c r="C14" s="1129">
        <f>(B15-B13-B12-B11-B10-B9-B8)*(0.065+0.0185)</f>
        <v>4621178.2420000006</v>
      </c>
      <c r="D14" s="789">
        <f t="shared" si="0"/>
        <v>59964630.241999999</v>
      </c>
    </row>
    <row r="15" spans="1:5" s="795" customFormat="1" ht="53.25" customHeight="1" thickBot="1" x14ac:dyDescent="0.25">
      <c r="A15" s="790" t="s">
        <v>1128</v>
      </c>
      <c r="B15" s="791">
        <f>SUM(B8:B14)</f>
        <v>779839639</v>
      </c>
      <c r="C15" s="792">
        <f>SUM(C8:C14)</f>
        <v>241965648.19600004</v>
      </c>
      <c r="D15" s="793">
        <f t="shared" si="0"/>
        <v>1021805287.1960001</v>
      </c>
      <c r="E15" s="794"/>
    </row>
    <row r="16" spans="1:5" x14ac:dyDescent="0.2">
      <c r="B16" s="796"/>
      <c r="C16" s="797"/>
      <c r="D16" s="796"/>
    </row>
    <row r="17" spans="2:4" x14ac:dyDescent="0.2">
      <c r="B17" s="797"/>
      <c r="C17" s="798"/>
      <c r="D17" s="796"/>
    </row>
    <row r="18" spans="2:4" x14ac:dyDescent="0.2">
      <c r="B18" s="797"/>
      <c r="C18" s="799"/>
      <c r="D18" s="799"/>
    </row>
    <row r="19" spans="2:4" x14ac:dyDescent="0.2">
      <c r="B19" s="799"/>
      <c r="C19" s="799"/>
      <c r="D19" s="799"/>
    </row>
    <row r="22" spans="2:4" x14ac:dyDescent="0.2">
      <c r="B22" s="800"/>
      <c r="C22" s="796"/>
    </row>
    <row r="23" spans="2:4" x14ac:dyDescent="0.2">
      <c r="B23" s="800"/>
      <c r="C23" s="796"/>
    </row>
  </sheetData>
  <mergeCells count="4">
    <mergeCell ref="A2:D2"/>
    <mergeCell ref="A3:D3"/>
    <mergeCell ref="A6:A7"/>
    <mergeCell ref="B6:D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orientation="portrait" r:id="rId1"/>
  <headerFooter>
    <oddHeader xml:space="preserve">&amp;R&amp;"Calibri,Félkövér"&amp;11  &amp;"-,Félkövér"&amp;10 30. melléklet a …/2025. (........) önkormányzati rendelethez
 &amp;"Arial,Félkövér"&amp;8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61859-168F-493C-8427-3A9ECDB8455F}">
  <dimension ref="A1:BM60"/>
  <sheetViews>
    <sheetView zoomScale="50" zoomScaleNormal="50" zoomScaleSheetLayoutView="50" workbookViewId="0">
      <pane xSplit="1" ySplit="8" topLeftCell="B25" activePane="bottomRight" state="frozen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defaultRowHeight="26.45" customHeight="1" x14ac:dyDescent="0.6"/>
  <cols>
    <col min="1" max="1" width="193.33203125" style="890" customWidth="1"/>
    <col min="2" max="2" width="47.1640625" style="949" customWidth="1"/>
    <col min="3" max="3" width="47.33203125" style="949" customWidth="1"/>
    <col min="4" max="4" width="47.1640625" style="949" customWidth="1"/>
    <col min="5" max="5" width="43.6640625" style="949" customWidth="1"/>
    <col min="6" max="7" width="47.33203125" style="949" customWidth="1"/>
    <col min="8" max="8" width="47.1640625" style="949" customWidth="1"/>
    <col min="9" max="9" width="43.6640625" style="949" customWidth="1"/>
    <col min="10" max="11" width="47.33203125" style="949" customWidth="1"/>
    <col min="12" max="12" width="47.1640625" style="949" customWidth="1"/>
    <col min="13" max="13" width="43.6640625" style="949" customWidth="1"/>
    <col min="14" max="15" width="45" style="949" customWidth="1"/>
    <col min="16" max="16" width="44.83203125" style="949" customWidth="1"/>
    <col min="17" max="17" width="45" style="949" customWidth="1"/>
    <col min="18" max="19" width="47.33203125" style="949" customWidth="1"/>
    <col min="20" max="20" width="47.1640625" style="949" customWidth="1"/>
    <col min="21" max="21" width="43.6640625" style="949" customWidth="1"/>
    <col min="22" max="22" width="193.33203125" style="951" customWidth="1"/>
    <col min="23" max="25" width="47.33203125" style="949" customWidth="1"/>
    <col min="26" max="26" width="43.6640625" style="949" customWidth="1"/>
    <col min="27" max="29" width="47.33203125" style="949" customWidth="1"/>
    <col min="30" max="30" width="44" style="949" customWidth="1"/>
    <col min="31" max="33" width="47.33203125" style="949" customWidth="1"/>
    <col min="34" max="34" width="43.6640625" style="949" customWidth="1"/>
    <col min="35" max="37" width="47.33203125" style="949" customWidth="1"/>
    <col min="38" max="38" width="43.6640625" style="949" customWidth="1"/>
    <col min="39" max="41" width="47.33203125" style="890" customWidth="1"/>
    <col min="42" max="42" width="43.6640625" style="890" customWidth="1"/>
    <col min="43" max="43" width="193.33203125" style="951" customWidth="1"/>
    <col min="44" max="53" width="56" style="890" customWidth="1"/>
    <col min="54" max="57" width="56" style="950" customWidth="1"/>
    <col min="58" max="59" width="56" style="949" customWidth="1"/>
    <col min="60" max="254" width="9.33203125" style="890"/>
    <col min="255" max="255" width="193.33203125" style="890" customWidth="1"/>
    <col min="256" max="256" width="47.1640625" style="890" customWidth="1"/>
    <col min="257" max="257" width="47.33203125" style="890" customWidth="1"/>
    <col min="258" max="258" width="47.1640625" style="890" customWidth="1"/>
    <col min="259" max="259" width="43.6640625" style="890" customWidth="1"/>
    <col min="260" max="261" width="47.33203125" style="890" customWidth="1"/>
    <col min="262" max="262" width="47.1640625" style="890" customWidth="1"/>
    <col min="263" max="263" width="43.6640625" style="890" customWidth="1"/>
    <col min="264" max="265" width="47.33203125" style="890" customWidth="1"/>
    <col min="266" max="266" width="47.1640625" style="890" customWidth="1"/>
    <col min="267" max="267" width="43.6640625" style="890" customWidth="1"/>
    <col min="268" max="269" width="45" style="890" customWidth="1"/>
    <col min="270" max="270" width="44.83203125" style="890" customWidth="1"/>
    <col min="271" max="271" width="45" style="890" customWidth="1"/>
    <col min="272" max="273" width="47.33203125" style="890" customWidth="1"/>
    <col min="274" max="274" width="47.1640625" style="890" customWidth="1"/>
    <col min="275" max="275" width="43.6640625" style="890" customWidth="1"/>
    <col min="276" max="276" width="193.33203125" style="890" customWidth="1"/>
    <col min="277" max="279" width="47.33203125" style="890" customWidth="1"/>
    <col min="280" max="280" width="43.6640625" style="890" customWidth="1"/>
    <col min="281" max="283" width="47.33203125" style="890" customWidth="1"/>
    <col min="284" max="284" width="44" style="890" customWidth="1"/>
    <col min="285" max="287" width="47.33203125" style="890" customWidth="1"/>
    <col min="288" max="288" width="43.6640625" style="890" customWidth="1"/>
    <col min="289" max="291" width="47.33203125" style="890" customWidth="1"/>
    <col min="292" max="292" width="43.6640625" style="890" customWidth="1"/>
    <col min="293" max="295" width="47.33203125" style="890" customWidth="1"/>
    <col min="296" max="296" width="43.6640625" style="890" customWidth="1"/>
    <col min="297" max="297" width="193.33203125" style="890" customWidth="1"/>
    <col min="298" max="313" width="56" style="890" customWidth="1"/>
    <col min="314" max="314" width="59" style="890" customWidth="1"/>
    <col min="315" max="315" width="46" style="890" customWidth="1"/>
    <col min="316" max="510" width="9.33203125" style="890"/>
    <col min="511" max="511" width="193.33203125" style="890" customWidth="1"/>
    <col min="512" max="512" width="47.1640625" style="890" customWidth="1"/>
    <col min="513" max="513" width="47.33203125" style="890" customWidth="1"/>
    <col min="514" max="514" width="47.1640625" style="890" customWidth="1"/>
    <col min="515" max="515" width="43.6640625" style="890" customWidth="1"/>
    <col min="516" max="517" width="47.33203125" style="890" customWidth="1"/>
    <col min="518" max="518" width="47.1640625" style="890" customWidth="1"/>
    <col min="519" max="519" width="43.6640625" style="890" customWidth="1"/>
    <col min="520" max="521" width="47.33203125" style="890" customWidth="1"/>
    <col min="522" max="522" width="47.1640625" style="890" customWidth="1"/>
    <col min="523" max="523" width="43.6640625" style="890" customWidth="1"/>
    <col min="524" max="525" width="45" style="890" customWidth="1"/>
    <col min="526" max="526" width="44.83203125" style="890" customWidth="1"/>
    <col min="527" max="527" width="45" style="890" customWidth="1"/>
    <col min="528" max="529" width="47.33203125" style="890" customWidth="1"/>
    <col min="530" max="530" width="47.1640625" style="890" customWidth="1"/>
    <col min="531" max="531" width="43.6640625" style="890" customWidth="1"/>
    <col min="532" max="532" width="193.33203125" style="890" customWidth="1"/>
    <col min="533" max="535" width="47.33203125" style="890" customWidth="1"/>
    <col min="536" max="536" width="43.6640625" style="890" customWidth="1"/>
    <col min="537" max="539" width="47.33203125" style="890" customWidth="1"/>
    <col min="540" max="540" width="44" style="890" customWidth="1"/>
    <col min="541" max="543" width="47.33203125" style="890" customWidth="1"/>
    <col min="544" max="544" width="43.6640625" style="890" customWidth="1"/>
    <col min="545" max="547" width="47.33203125" style="890" customWidth="1"/>
    <col min="548" max="548" width="43.6640625" style="890" customWidth="1"/>
    <col min="549" max="551" width="47.33203125" style="890" customWidth="1"/>
    <col min="552" max="552" width="43.6640625" style="890" customWidth="1"/>
    <col min="553" max="553" width="193.33203125" style="890" customWidth="1"/>
    <col min="554" max="569" width="56" style="890" customWidth="1"/>
    <col min="570" max="570" width="59" style="890" customWidth="1"/>
    <col min="571" max="571" width="46" style="890" customWidth="1"/>
    <col min="572" max="766" width="9.33203125" style="890"/>
    <col min="767" max="767" width="193.33203125" style="890" customWidth="1"/>
    <col min="768" max="768" width="47.1640625" style="890" customWidth="1"/>
    <col min="769" max="769" width="47.33203125" style="890" customWidth="1"/>
    <col min="770" max="770" width="47.1640625" style="890" customWidth="1"/>
    <col min="771" max="771" width="43.6640625" style="890" customWidth="1"/>
    <col min="772" max="773" width="47.33203125" style="890" customWidth="1"/>
    <col min="774" max="774" width="47.1640625" style="890" customWidth="1"/>
    <col min="775" max="775" width="43.6640625" style="890" customWidth="1"/>
    <col min="776" max="777" width="47.33203125" style="890" customWidth="1"/>
    <col min="778" max="778" width="47.1640625" style="890" customWidth="1"/>
    <col min="779" max="779" width="43.6640625" style="890" customWidth="1"/>
    <col min="780" max="781" width="45" style="890" customWidth="1"/>
    <col min="782" max="782" width="44.83203125" style="890" customWidth="1"/>
    <col min="783" max="783" width="45" style="890" customWidth="1"/>
    <col min="784" max="785" width="47.33203125" style="890" customWidth="1"/>
    <col min="786" max="786" width="47.1640625" style="890" customWidth="1"/>
    <col min="787" max="787" width="43.6640625" style="890" customWidth="1"/>
    <col min="788" max="788" width="193.33203125" style="890" customWidth="1"/>
    <col min="789" max="791" width="47.33203125" style="890" customWidth="1"/>
    <col min="792" max="792" width="43.6640625" style="890" customWidth="1"/>
    <col min="793" max="795" width="47.33203125" style="890" customWidth="1"/>
    <col min="796" max="796" width="44" style="890" customWidth="1"/>
    <col min="797" max="799" width="47.33203125" style="890" customWidth="1"/>
    <col min="800" max="800" width="43.6640625" style="890" customWidth="1"/>
    <col min="801" max="803" width="47.33203125" style="890" customWidth="1"/>
    <col min="804" max="804" width="43.6640625" style="890" customWidth="1"/>
    <col min="805" max="807" width="47.33203125" style="890" customWidth="1"/>
    <col min="808" max="808" width="43.6640625" style="890" customWidth="1"/>
    <col min="809" max="809" width="193.33203125" style="890" customWidth="1"/>
    <col min="810" max="825" width="56" style="890" customWidth="1"/>
    <col min="826" max="826" width="59" style="890" customWidth="1"/>
    <col min="827" max="827" width="46" style="890" customWidth="1"/>
    <col min="828" max="1022" width="9.33203125" style="890"/>
    <col min="1023" max="1023" width="193.33203125" style="890" customWidth="1"/>
    <col min="1024" max="1024" width="47.1640625" style="890" customWidth="1"/>
    <col min="1025" max="1025" width="47.33203125" style="890" customWidth="1"/>
    <col min="1026" max="1026" width="47.1640625" style="890" customWidth="1"/>
    <col min="1027" max="1027" width="43.6640625" style="890" customWidth="1"/>
    <col min="1028" max="1029" width="47.33203125" style="890" customWidth="1"/>
    <col min="1030" max="1030" width="47.1640625" style="890" customWidth="1"/>
    <col min="1031" max="1031" width="43.6640625" style="890" customWidth="1"/>
    <col min="1032" max="1033" width="47.33203125" style="890" customWidth="1"/>
    <col min="1034" max="1034" width="47.1640625" style="890" customWidth="1"/>
    <col min="1035" max="1035" width="43.6640625" style="890" customWidth="1"/>
    <col min="1036" max="1037" width="45" style="890" customWidth="1"/>
    <col min="1038" max="1038" width="44.83203125" style="890" customWidth="1"/>
    <col min="1039" max="1039" width="45" style="890" customWidth="1"/>
    <col min="1040" max="1041" width="47.33203125" style="890" customWidth="1"/>
    <col min="1042" max="1042" width="47.1640625" style="890" customWidth="1"/>
    <col min="1043" max="1043" width="43.6640625" style="890" customWidth="1"/>
    <col min="1044" max="1044" width="193.33203125" style="890" customWidth="1"/>
    <col min="1045" max="1047" width="47.33203125" style="890" customWidth="1"/>
    <col min="1048" max="1048" width="43.6640625" style="890" customWidth="1"/>
    <col min="1049" max="1051" width="47.33203125" style="890" customWidth="1"/>
    <col min="1052" max="1052" width="44" style="890" customWidth="1"/>
    <col min="1053" max="1055" width="47.33203125" style="890" customWidth="1"/>
    <col min="1056" max="1056" width="43.6640625" style="890" customWidth="1"/>
    <col min="1057" max="1059" width="47.33203125" style="890" customWidth="1"/>
    <col min="1060" max="1060" width="43.6640625" style="890" customWidth="1"/>
    <col min="1061" max="1063" width="47.33203125" style="890" customWidth="1"/>
    <col min="1064" max="1064" width="43.6640625" style="890" customWidth="1"/>
    <col min="1065" max="1065" width="193.33203125" style="890" customWidth="1"/>
    <col min="1066" max="1081" width="56" style="890" customWidth="1"/>
    <col min="1082" max="1082" width="59" style="890" customWidth="1"/>
    <col min="1083" max="1083" width="46" style="890" customWidth="1"/>
    <col min="1084" max="1278" width="9.33203125" style="890"/>
    <col min="1279" max="1279" width="193.33203125" style="890" customWidth="1"/>
    <col min="1280" max="1280" width="47.1640625" style="890" customWidth="1"/>
    <col min="1281" max="1281" width="47.33203125" style="890" customWidth="1"/>
    <col min="1282" max="1282" width="47.1640625" style="890" customWidth="1"/>
    <col min="1283" max="1283" width="43.6640625" style="890" customWidth="1"/>
    <col min="1284" max="1285" width="47.33203125" style="890" customWidth="1"/>
    <col min="1286" max="1286" width="47.1640625" style="890" customWidth="1"/>
    <col min="1287" max="1287" width="43.6640625" style="890" customWidth="1"/>
    <col min="1288" max="1289" width="47.33203125" style="890" customWidth="1"/>
    <col min="1290" max="1290" width="47.1640625" style="890" customWidth="1"/>
    <col min="1291" max="1291" width="43.6640625" style="890" customWidth="1"/>
    <col min="1292" max="1293" width="45" style="890" customWidth="1"/>
    <col min="1294" max="1294" width="44.83203125" style="890" customWidth="1"/>
    <col min="1295" max="1295" width="45" style="890" customWidth="1"/>
    <col min="1296" max="1297" width="47.33203125" style="890" customWidth="1"/>
    <col min="1298" max="1298" width="47.1640625" style="890" customWidth="1"/>
    <col min="1299" max="1299" width="43.6640625" style="890" customWidth="1"/>
    <col min="1300" max="1300" width="193.33203125" style="890" customWidth="1"/>
    <col min="1301" max="1303" width="47.33203125" style="890" customWidth="1"/>
    <col min="1304" max="1304" width="43.6640625" style="890" customWidth="1"/>
    <col min="1305" max="1307" width="47.33203125" style="890" customWidth="1"/>
    <col min="1308" max="1308" width="44" style="890" customWidth="1"/>
    <col min="1309" max="1311" width="47.33203125" style="890" customWidth="1"/>
    <col min="1312" max="1312" width="43.6640625" style="890" customWidth="1"/>
    <col min="1313" max="1315" width="47.33203125" style="890" customWidth="1"/>
    <col min="1316" max="1316" width="43.6640625" style="890" customWidth="1"/>
    <col min="1317" max="1319" width="47.33203125" style="890" customWidth="1"/>
    <col min="1320" max="1320" width="43.6640625" style="890" customWidth="1"/>
    <col min="1321" max="1321" width="193.33203125" style="890" customWidth="1"/>
    <col min="1322" max="1337" width="56" style="890" customWidth="1"/>
    <col min="1338" max="1338" width="59" style="890" customWidth="1"/>
    <col min="1339" max="1339" width="46" style="890" customWidth="1"/>
    <col min="1340" max="1534" width="9.33203125" style="890"/>
    <col min="1535" max="1535" width="193.33203125" style="890" customWidth="1"/>
    <col min="1536" max="1536" width="47.1640625" style="890" customWidth="1"/>
    <col min="1537" max="1537" width="47.33203125" style="890" customWidth="1"/>
    <col min="1538" max="1538" width="47.1640625" style="890" customWidth="1"/>
    <col min="1539" max="1539" width="43.6640625" style="890" customWidth="1"/>
    <col min="1540" max="1541" width="47.33203125" style="890" customWidth="1"/>
    <col min="1542" max="1542" width="47.1640625" style="890" customWidth="1"/>
    <col min="1543" max="1543" width="43.6640625" style="890" customWidth="1"/>
    <col min="1544" max="1545" width="47.33203125" style="890" customWidth="1"/>
    <col min="1546" max="1546" width="47.1640625" style="890" customWidth="1"/>
    <col min="1547" max="1547" width="43.6640625" style="890" customWidth="1"/>
    <col min="1548" max="1549" width="45" style="890" customWidth="1"/>
    <col min="1550" max="1550" width="44.83203125" style="890" customWidth="1"/>
    <col min="1551" max="1551" width="45" style="890" customWidth="1"/>
    <col min="1552" max="1553" width="47.33203125" style="890" customWidth="1"/>
    <col min="1554" max="1554" width="47.1640625" style="890" customWidth="1"/>
    <col min="1555" max="1555" width="43.6640625" style="890" customWidth="1"/>
    <col min="1556" max="1556" width="193.33203125" style="890" customWidth="1"/>
    <col min="1557" max="1559" width="47.33203125" style="890" customWidth="1"/>
    <col min="1560" max="1560" width="43.6640625" style="890" customWidth="1"/>
    <col min="1561" max="1563" width="47.33203125" style="890" customWidth="1"/>
    <col min="1564" max="1564" width="44" style="890" customWidth="1"/>
    <col min="1565" max="1567" width="47.33203125" style="890" customWidth="1"/>
    <col min="1568" max="1568" width="43.6640625" style="890" customWidth="1"/>
    <col min="1569" max="1571" width="47.33203125" style="890" customWidth="1"/>
    <col min="1572" max="1572" width="43.6640625" style="890" customWidth="1"/>
    <col min="1573" max="1575" width="47.33203125" style="890" customWidth="1"/>
    <col min="1576" max="1576" width="43.6640625" style="890" customWidth="1"/>
    <col min="1577" max="1577" width="193.33203125" style="890" customWidth="1"/>
    <col min="1578" max="1593" width="56" style="890" customWidth="1"/>
    <col min="1594" max="1594" width="59" style="890" customWidth="1"/>
    <col min="1595" max="1595" width="46" style="890" customWidth="1"/>
    <col min="1596" max="1790" width="9.33203125" style="890"/>
    <col min="1791" max="1791" width="193.33203125" style="890" customWidth="1"/>
    <col min="1792" max="1792" width="47.1640625" style="890" customWidth="1"/>
    <col min="1793" max="1793" width="47.33203125" style="890" customWidth="1"/>
    <col min="1794" max="1794" width="47.1640625" style="890" customWidth="1"/>
    <col min="1795" max="1795" width="43.6640625" style="890" customWidth="1"/>
    <col min="1796" max="1797" width="47.33203125" style="890" customWidth="1"/>
    <col min="1798" max="1798" width="47.1640625" style="890" customWidth="1"/>
    <col min="1799" max="1799" width="43.6640625" style="890" customWidth="1"/>
    <col min="1800" max="1801" width="47.33203125" style="890" customWidth="1"/>
    <col min="1802" max="1802" width="47.1640625" style="890" customWidth="1"/>
    <col min="1803" max="1803" width="43.6640625" style="890" customWidth="1"/>
    <col min="1804" max="1805" width="45" style="890" customWidth="1"/>
    <col min="1806" max="1806" width="44.83203125" style="890" customWidth="1"/>
    <col min="1807" max="1807" width="45" style="890" customWidth="1"/>
    <col min="1808" max="1809" width="47.33203125" style="890" customWidth="1"/>
    <col min="1810" max="1810" width="47.1640625" style="890" customWidth="1"/>
    <col min="1811" max="1811" width="43.6640625" style="890" customWidth="1"/>
    <col min="1812" max="1812" width="193.33203125" style="890" customWidth="1"/>
    <col min="1813" max="1815" width="47.33203125" style="890" customWidth="1"/>
    <col min="1816" max="1816" width="43.6640625" style="890" customWidth="1"/>
    <col min="1817" max="1819" width="47.33203125" style="890" customWidth="1"/>
    <col min="1820" max="1820" width="44" style="890" customWidth="1"/>
    <col min="1821" max="1823" width="47.33203125" style="890" customWidth="1"/>
    <col min="1824" max="1824" width="43.6640625" style="890" customWidth="1"/>
    <col min="1825" max="1827" width="47.33203125" style="890" customWidth="1"/>
    <col min="1828" max="1828" width="43.6640625" style="890" customWidth="1"/>
    <col min="1829" max="1831" width="47.33203125" style="890" customWidth="1"/>
    <col min="1832" max="1832" width="43.6640625" style="890" customWidth="1"/>
    <col min="1833" max="1833" width="193.33203125" style="890" customWidth="1"/>
    <col min="1834" max="1849" width="56" style="890" customWidth="1"/>
    <col min="1850" max="1850" width="59" style="890" customWidth="1"/>
    <col min="1851" max="1851" width="46" style="890" customWidth="1"/>
    <col min="1852" max="2046" width="9.33203125" style="890"/>
    <col min="2047" max="2047" width="193.33203125" style="890" customWidth="1"/>
    <col min="2048" max="2048" width="47.1640625" style="890" customWidth="1"/>
    <col min="2049" max="2049" width="47.33203125" style="890" customWidth="1"/>
    <col min="2050" max="2050" width="47.1640625" style="890" customWidth="1"/>
    <col min="2051" max="2051" width="43.6640625" style="890" customWidth="1"/>
    <col min="2052" max="2053" width="47.33203125" style="890" customWidth="1"/>
    <col min="2054" max="2054" width="47.1640625" style="890" customWidth="1"/>
    <col min="2055" max="2055" width="43.6640625" style="890" customWidth="1"/>
    <col min="2056" max="2057" width="47.33203125" style="890" customWidth="1"/>
    <col min="2058" max="2058" width="47.1640625" style="890" customWidth="1"/>
    <col min="2059" max="2059" width="43.6640625" style="890" customWidth="1"/>
    <col min="2060" max="2061" width="45" style="890" customWidth="1"/>
    <col min="2062" max="2062" width="44.83203125" style="890" customWidth="1"/>
    <col min="2063" max="2063" width="45" style="890" customWidth="1"/>
    <col min="2064" max="2065" width="47.33203125" style="890" customWidth="1"/>
    <col min="2066" max="2066" width="47.1640625" style="890" customWidth="1"/>
    <col min="2067" max="2067" width="43.6640625" style="890" customWidth="1"/>
    <col min="2068" max="2068" width="193.33203125" style="890" customWidth="1"/>
    <col min="2069" max="2071" width="47.33203125" style="890" customWidth="1"/>
    <col min="2072" max="2072" width="43.6640625" style="890" customWidth="1"/>
    <col min="2073" max="2075" width="47.33203125" style="890" customWidth="1"/>
    <col min="2076" max="2076" width="44" style="890" customWidth="1"/>
    <col min="2077" max="2079" width="47.33203125" style="890" customWidth="1"/>
    <col min="2080" max="2080" width="43.6640625" style="890" customWidth="1"/>
    <col min="2081" max="2083" width="47.33203125" style="890" customWidth="1"/>
    <col min="2084" max="2084" width="43.6640625" style="890" customWidth="1"/>
    <col min="2085" max="2087" width="47.33203125" style="890" customWidth="1"/>
    <col min="2088" max="2088" width="43.6640625" style="890" customWidth="1"/>
    <col min="2089" max="2089" width="193.33203125" style="890" customWidth="1"/>
    <col min="2090" max="2105" width="56" style="890" customWidth="1"/>
    <col min="2106" max="2106" width="59" style="890" customWidth="1"/>
    <col min="2107" max="2107" width="46" style="890" customWidth="1"/>
    <col min="2108" max="2302" width="9.33203125" style="890"/>
    <col min="2303" max="2303" width="193.33203125" style="890" customWidth="1"/>
    <col min="2304" max="2304" width="47.1640625" style="890" customWidth="1"/>
    <col min="2305" max="2305" width="47.33203125" style="890" customWidth="1"/>
    <col min="2306" max="2306" width="47.1640625" style="890" customWidth="1"/>
    <col min="2307" max="2307" width="43.6640625" style="890" customWidth="1"/>
    <col min="2308" max="2309" width="47.33203125" style="890" customWidth="1"/>
    <col min="2310" max="2310" width="47.1640625" style="890" customWidth="1"/>
    <col min="2311" max="2311" width="43.6640625" style="890" customWidth="1"/>
    <col min="2312" max="2313" width="47.33203125" style="890" customWidth="1"/>
    <col min="2314" max="2314" width="47.1640625" style="890" customWidth="1"/>
    <col min="2315" max="2315" width="43.6640625" style="890" customWidth="1"/>
    <col min="2316" max="2317" width="45" style="890" customWidth="1"/>
    <col min="2318" max="2318" width="44.83203125" style="890" customWidth="1"/>
    <col min="2319" max="2319" width="45" style="890" customWidth="1"/>
    <col min="2320" max="2321" width="47.33203125" style="890" customWidth="1"/>
    <col min="2322" max="2322" width="47.1640625" style="890" customWidth="1"/>
    <col min="2323" max="2323" width="43.6640625" style="890" customWidth="1"/>
    <col min="2324" max="2324" width="193.33203125" style="890" customWidth="1"/>
    <col min="2325" max="2327" width="47.33203125" style="890" customWidth="1"/>
    <col min="2328" max="2328" width="43.6640625" style="890" customWidth="1"/>
    <col min="2329" max="2331" width="47.33203125" style="890" customWidth="1"/>
    <col min="2332" max="2332" width="44" style="890" customWidth="1"/>
    <col min="2333" max="2335" width="47.33203125" style="890" customWidth="1"/>
    <col min="2336" max="2336" width="43.6640625" style="890" customWidth="1"/>
    <col min="2337" max="2339" width="47.33203125" style="890" customWidth="1"/>
    <col min="2340" max="2340" width="43.6640625" style="890" customWidth="1"/>
    <col min="2341" max="2343" width="47.33203125" style="890" customWidth="1"/>
    <col min="2344" max="2344" width="43.6640625" style="890" customWidth="1"/>
    <col min="2345" max="2345" width="193.33203125" style="890" customWidth="1"/>
    <col min="2346" max="2361" width="56" style="890" customWidth="1"/>
    <col min="2362" max="2362" width="59" style="890" customWidth="1"/>
    <col min="2363" max="2363" width="46" style="890" customWidth="1"/>
    <col min="2364" max="2558" width="9.33203125" style="890"/>
    <col min="2559" max="2559" width="193.33203125" style="890" customWidth="1"/>
    <col min="2560" max="2560" width="47.1640625" style="890" customWidth="1"/>
    <col min="2561" max="2561" width="47.33203125" style="890" customWidth="1"/>
    <col min="2562" max="2562" width="47.1640625" style="890" customWidth="1"/>
    <col min="2563" max="2563" width="43.6640625" style="890" customWidth="1"/>
    <col min="2564" max="2565" width="47.33203125" style="890" customWidth="1"/>
    <col min="2566" max="2566" width="47.1640625" style="890" customWidth="1"/>
    <col min="2567" max="2567" width="43.6640625" style="890" customWidth="1"/>
    <col min="2568" max="2569" width="47.33203125" style="890" customWidth="1"/>
    <col min="2570" max="2570" width="47.1640625" style="890" customWidth="1"/>
    <col min="2571" max="2571" width="43.6640625" style="890" customWidth="1"/>
    <col min="2572" max="2573" width="45" style="890" customWidth="1"/>
    <col min="2574" max="2574" width="44.83203125" style="890" customWidth="1"/>
    <col min="2575" max="2575" width="45" style="890" customWidth="1"/>
    <col min="2576" max="2577" width="47.33203125" style="890" customWidth="1"/>
    <col min="2578" max="2578" width="47.1640625" style="890" customWidth="1"/>
    <col min="2579" max="2579" width="43.6640625" style="890" customWidth="1"/>
    <col min="2580" max="2580" width="193.33203125" style="890" customWidth="1"/>
    <col min="2581" max="2583" width="47.33203125" style="890" customWidth="1"/>
    <col min="2584" max="2584" width="43.6640625" style="890" customWidth="1"/>
    <col min="2585" max="2587" width="47.33203125" style="890" customWidth="1"/>
    <col min="2588" max="2588" width="44" style="890" customWidth="1"/>
    <col min="2589" max="2591" width="47.33203125" style="890" customWidth="1"/>
    <col min="2592" max="2592" width="43.6640625" style="890" customWidth="1"/>
    <col min="2593" max="2595" width="47.33203125" style="890" customWidth="1"/>
    <col min="2596" max="2596" width="43.6640625" style="890" customWidth="1"/>
    <col min="2597" max="2599" width="47.33203125" style="890" customWidth="1"/>
    <col min="2600" max="2600" width="43.6640625" style="890" customWidth="1"/>
    <col min="2601" max="2601" width="193.33203125" style="890" customWidth="1"/>
    <col min="2602" max="2617" width="56" style="890" customWidth="1"/>
    <col min="2618" max="2618" width="59" style="890" customWidth="1"/>
    <col min="2619" max="2619" width="46" style="890" customWidth="1"/>
    <col min="2620" max="2814" width="9.33203125" style="890"/>
    <col min="2815" max="2815" width="193.33203125" style="890" customWidth="1"/>
    <col min="2816" max="2816" width="47.1640625" style="890" customWidth="1"/>
    <col min="2817" max="2817" width="47.33203125" style="890" customWidth="1"/>
    <col min="2818" max="2818" width="47.1640625" style="890" customWidth="1"/>
    <col min="2819" max="2819" width="43.6640625" style="890" customWidth="1"/>
    <col min="2820" max="2821" width="47.33203125" style="890" customWidth="1"/>
    <col min="2822" max="2822" width="47.1640625" style="890" customWidth="1"/>
    <col min="2823" max="2823" width="43.6640625" style="890" customWidth="1"/>
    <col min="2824" max="2825" width="47.33203125" style="890" customWidth="1"/>
    <col min="2826" max="2826" width="47.1640625" style="890" customWidth="1"/>
    <col min="2827" max="2827" width="43.6640625" style="890" customWidth="1"/>
    <col min="2828" max="2829" width="45" style="890" customWidth="1"/>
    <col min="2830" max="2830" width="44.83203125" style="890" customWidth="1"/>
    <col min="2831" max="2831" width="45" style="890" customWidth="1"/>
    <col min="2832" max="2833" width="47.33203125" style="890" customWidth="1"/>
    <col min="2834" max="2834" width="47.1640625" style="890" customWidth="1"/>
    <col min="2835" max="2835" width="43.6640625" style="890" customWidth="1"/>
    <col min="2836" max="2836" width="193.33203125" style="890" customWidth="1"/>
    <col min="2837" max="2839" width="47.33203125" style="890" customWidth="1"/>
    <col min="2840" max="2840" width="43.6640625" style="890" customWidth="1"/>
    <col min="2841" max="2843" width="47.33203125" style="890" customWidth="1"/>
    <col min="2844" max="2844" width="44" style="890" customWidth="1"/>
    <col min="2845" max="2847" width="47.33203125" style="890" customWidth="1"/>
    <col min="2848" max="2848" width="43.6640625" style="890" customWidth="1"/>
    <col min="2849" max="2851" width="47.33203125" style="890" customWidth="1"/>
    <col min="2852" max="2852" width="43.6640625" style="890" customWidth="1"/>
    <col min="2853" max="2855" width="47.33203125" style="890" customWidth="1"/>
    <col min="2856" max="2856" width="43.6640625" style="890" customWidth="1"/>
    <col min="2857" max="2857" width="193.33203125" style="890" customWidth="1"/>
    <col min="2858" max="2873" width="56" style="890" customWidth="1"/>
    <col min="2874" max="2874" width="59" style="890" customWidth="1"/>
    <col min="2875" max="2875" width="46" style="890" customWidth="1"/>
    <col min="2876" max="3070" width="9.33203125" style="890"/>
    <col min="3071" max="3071" width="193.33203125" style="890" customWidth="1"/>
    <col min="3072" max="3072" width="47.1640625" style="890" customWidth="1"/>
    <col min="3073" max="3073" width="47.33203125" style="890" customWidth="1"/>
    <col min="3074" max="3074" width="47.1640625" style="890" customWidth="1"/>
    <col min="3075" max="3075" width="43.6640625" style="890" customWidth="1"/>
    <col min="3076" max="3077" width="47.33203125" style="890" customWidth="1"/>
    <col min="3078" max="3078" width="47.1640625" style="890" customWidth="1"/>
    <col min="3079" max="3079" width="43.6640625" style="890" customWidth="1"/>
    <col min="3080" max="3081" width="47.33203125" style="890" customWidth="1"/>
    <col min="3082" max="3082" width="47.1640625" style="890" customWidth="1"/>
    <col min="3083" max="3083" width="43.6640625" style="890" customWidth="1"/>
    <col min="3084" max="3085" width="45" style="890" customWidth="1"/>
    <col min="3086" max="3086" width="44.83203125" style="890" customWidth="1"/>
    <col min="3087" max="3087" width="45" style="890" customWidth="1"/>
    <col min="3088" max="3089" width="47.33203125" style="890" customWidth="1"/>
    <col min="3090" max="3090" width="47.1640625" style="890" customWidth="1"/>
    <col min="3091" max="3091" width="43.6640625" style="890" customWidth="1"/>
    <col min="3092" max="3092" width="193.33203125" style="890" customWidth="1"/>
    <col min="3093" max="3095" width="47.33203125" style="890" customWidth="1"/>
    <col min="3096" max="3096" width="43.6640625" style="890" customWidth="1"/>
    <col min="3097" max="3099" width="47.33203125" style="890" customWidth="1"/>
    <col min="3100" max="3100" width="44" style="890" customWidth="1"/>
    <col min="3101" max="3103" width="47.33203125" style="890" customWidth="1"/>
    <col min="3104" max="3104" width="43.6640625" style="890" customWidth="1"/>
    <col min="3105" max="3107" width="47.33203125" style="890" customWidth="1"/>
    <col min="3108" max="3108" width="43.6640625" style="890" customWidth="1"/>
    <col min="3109" max="3111" width="47.33203125" style="890" customWidth="1"/>
    <col min="3112" max="3112" width="43.6640625" style="890" customWidth="1"/>
    <col min="3113" max="3113" width="193.33203125" style="890" customWidth="1"/>
    <col min="3114" max="3129" width="56" style="890" customWidth="1"/>
    <col min="3130" max="3130" width="59" style="890" customWidth="1"/>
    <col min="3131" max="3131" width="46" style="890" customWidth="1"/>
    <col min="3132" max="3326" width="9.33203125" style="890"/>
    <col min="3327" max="3327" width="193.33203125" style="890" customWidth="1"/>
    <col min="3328" max="3328" width="47.1640625" style="890" customWidth="1"/>
    <col min="3329" max="3329" width="47.33203125" style="890" customWidth="1"/>
    <col min="3330" max="3330" width="47.1640625" style="890" customWidth="1"/>
    <col min="3331" max="3331" width="43.6640625" style="890" customWidth="1"/>
    <col min="3332" max="3333" width="47.33203125" style="890" customWidth="1"/>
    <col min="3334" max="3334" width="47.1640625" style="890" customWidth="1"/>
    <col min="3335" max="3335" width="43.6640625" style="890" customWidth="1"/>
    <col min="3336" max="3337" width="47.33203125" style="890" customWidth="1"/>
    <col min="3338" max="3338" width="47.1640625" style="890" customWidth="1"/>
    <col min="3339" max="3339" width="43.6640625" style="890" customWidth="1"/>
    <col min="3340" max="3341" width="45" style="890" customWidth="1"/>
    <col min="3342" max="3342" width="44.83203125" style="890" customWidth="1"/>
    <col min="3343" max="3343" width="45" style="890" customWidth="1"/>
    <col min="3344" max="3345" width="47.33203125" style="890" customWidth="1"/>
    <col min="3346" max="3346" width="47.1640625" style="890" customWidth="1"/>
    <col min="3347" max="3347" width="43.6640625" style="890" customWidth="1"/>
    <col min="3348" max="3348" width="193.33203125" style="890" customWidth="1"/>
    <col min="3349" max="3351" width="47.33203125" style="890" customWidth="1"/>
    <col min="3352" max="3352" width="43.6640625" style="890" customWidth="1"/>
    <col min="3353" max="3355" width="47.33203125" style="890" customWidth="1"/>
    <col min="3356" max="3356" width="44" style="890" customWidth="1"/>
    <col min="3357" max="3359" width="47.33203125" style="890" customWidth="1"/>
    <col min="3360" max="3360" width="43.6640625" style="890" customWidth="1"/>
    <col min="3361" max="3363" width="47.33203125" style="890" customWidth="1"/>
    <col min="3364" max="3364" width="43.6640625" style="890" customWidth="1"/>
    <col min="3365" max="3367" width="47.33203125" style="890" customWidth="1"/>
    <col min="3368" max="3368" width="43.6640625" style="890" customWidth="1"/>
    <col min="3369" max="3369" width="193.33203125" style="890" customWidth="1"/>
    <col min="3370" max="3385" width="56" style="890" customWidth="1"/>
    <col min="3386" max="3386" width="59" style="890" customWidth="1"/>
    <col min="3387" max="3387" width="46" style="890" customWidth="1"/>
    <col min="3388" max="3582" width="9.33203125" style="890"/>
    <col min="3583" max="3583" width="193.33203125" style="890" customWidth="1"/>
    <col min="3584" max="3584" width="47.1640625" style="890" customWidth="1"/>
    <col min="3585" max="3585" width="47.33203125" style="890" customWidth="1"/>
    <col min="3586" max="3586" width="47.1640625" style="890" customWidth="1"/>
    <col min="3587" max="3587" width="43.6640625" style="890" customWidth="1"/>
    <col min="3588" max="3589" width="47.33203125" style="890" customWidth="1"/>
    <col min="3590" max="3590" width="47.1640625" style="890" customWidth="1"/>
    <col min="3591" max="3591" width="43.6640625" style="890" customWidth="1"/>
    <col min="3592" max="3593" width="47.33203125" style="890" customWidth="1"/>
    <col min="3594" max="3594" width="47.1640625" style="890" customWidth="1"/>
    <col min="3595" max="3595" width="43.6640625" style="890" customWidth="1"/>
    <col min="3596" max="3597" width="45" style="890" customWidth="1"/>
    <col min="3598" max="3598" width="44.83203125" style="890" customWidth="1"/>
    <col min="3599" max="3599" width="45" style="890" customWidth="1"/>
    <col min="3600" max="3601" width="47.33203125" style="890" customWidth="1"/>
    <col min="3602" max="3602" width="47.1640625" style="890" customWidth="1"/>
    <col min="3603" max="3603" width="43.6640625" style="890" customWidth="1"/>
    <col min="3604" max="3604" width="193.33203125" style="890" customWidth="1"/>
    <col min="3605" max="3607" width="47.33203125" style="890" customWidth="1"/>
    <col min="3608" max="3608" width="43.6640625" style="890" customWidth="1"/>
    <col min="3609" max="3611" width="47.33203125" style="890" customWidth="1"/>
    <col min="3612" max="3612" width="44" style="890" customWidth="1"/>
    <col min="3613" max="3615" width="47.33203125" style="890" customWidth="1"/>
    <col min="3616" max="3616" width="43.6640625" style="890" customWidth="1"/>
    <col min="3617" max="3619" width="47.33203125" style="890" customWidth="1"/>
    <col min="3620" max="3620" width="43.6640625" style="890" customWidth="1"/>
    <col min="3621" max="3623" width="47.33203125" style="890" customWidth="1"/>
    <col min="3624" max="3624" width="43.6640625" style="890" customWidth="1"/>
    <col min="3625" max="3625" width="193.33203125" style="890" customWidth="1"/>
    <col min="3626" max="3641" width="56" style="890" customWidth="1"/>
    <col min="3642" max="3642" width="59" style="890" customWidth="1"/>
    <col min="3643" max="3643" width="46" style="890" customWidth="1"/>
    <col min="3644" max="3838" width="9.33203125" style="890"/>
    <col min="3839" max="3839" width="193.33203125" style="890" customWidth="1"/>
    <col min="3840" max="3840" width="47.1640625" style="890" customWidth="1"/>
    <col min="3841" max="3841" width="47.33203125" style="890" customWidth="1"/>
    <col min="3842" max="3842" width="47.1640625" style="890" customWidth="1"/>
    <col min="3843" max="3843" width="43.6640625" style="890" customWidth="1"/>
    <col min="3844" max="3845" width="47.33203125" style="890" customWidth="1"/>
    <col min="3846" max="3846" width="47.1640625" style="890" customWidth="1"/>
    <col min="3847" max="3847" width="43.6640625" style="890" customWidth="1"/>
    <col min="3848" max="3849" width="47.33203125" style="890" customWidth="1"/>
    <col min="3850" max="3850" width="47.1640625" style="890" customWidth="1"/>
    <col min="3851" max="3851" width="43.6640625" style="890" customWidth="1"/>
    <col min="3852" max="3853" width="45" style="890" customWidth="1"/>
    <col min="3854" max="3854" width="44.83203125" style="890" customWidth="1"/>
    <col min="3855" max="3855" width="45" style="890" customWidth="1"/>
    <col min="3856" max="3857" width="47.33203125" style="890" customWidth="1"/>
    <col min="3858" max="3858" width="47.1640625" style="890" customWidth="1"/>
    <col min="3859" max="3859" width="43.6640625" style="890" customWidth="1"/>
    <col min="3860" max="3860" width="193.33203125" style="890" customWidth="1"/>
    <col min="3861" max="3863" width="47.33203125" style="890" customWidth="1"/>
    <col min="3864" max="3864" width="43.6640625" style="890" customWidth="1"/>
    <col min="3865" max="3867" width="47.33203125" style="890" customWidth="1"/>
    <col min="3868" max="3868" width="44" style="890" customWidth="1"/>
    <col min="3869" max="3871" width="47.33203125" style="890" customWidth="1"/>
    <col min="3872" max="3872" width="43.6640625" style="890" customWidth="1"/>
    <col min="3873" max="3875" width="47.33203125" style="890" customWidth="1"/>
    <col min="3876" max="3876" width="43.6640625" style="890" customWidth="1"/>
    <col min="3877" max="3879" width="47.33203125" style="890" customWidth="1"/>
    <col min="3880" max="3880" width="43.6640625" style="890" customWidth="1"/>
    <col min="3881" max="3881" width="193.33203125" style="890" customWidth="1"/>
    <col min="3882" max="3897" width="56" style="890" customWidth="1"/>
    <col min="3898" max="3898" width="59" style="890" customWidth="1"/>
    <col min="3899" max="3899" width="46" style="890" customWidth="1"/>
    <col min="3900" max="4094" width="9.33203125" style="890"/>
    <col min="4095" max="4095" width="193.33203125" style="890" customWidth="1"/>
    <col min="4096" max="4096" width="47.1640625" style="890" customWidth="1"/>
    <col min="4097" max="4097" width="47.33203125" style="890" customWidth="1"/>
    <col min="4098" max="4098" width="47.1640625" style="890" customWidth="1"/>
    <col min="4099" max="4099" width="43.6640625" style="890" customWidth="1"/>
    <col min="4100" max="4101" width="47.33203125" style="890" customWidth="1"/>
    <col min="4102" max="4102" width="47.1640625" style="890" customWidth="1"/>
    <col min="4103" max="4103" width="43.6640625" style="890" customWidth="1"/>
    <col min="4104" max="4105" width="47.33203125" style="890" customWidth="1"/>
    <col min="4106" max="4106" width="47.1640625" style="890" customWidth="1"/>
    <col min="4107" max="4107" width="43.6640625" style="890" customWidth="1"/>
    <col min="4108" max="4109" width="45" style="890" customWidth="1"/>
    <col min="4110" max="4110" width="44.83203125" style="890" customWidth="1"/>
    <col min="4111" max="4111" width="45" style="890" customWidth="1"/>
    <col min="4112" max="4113" width="47.33203125" style="890" customWidth="1"/>
    <col min="4114" max="4114" width="47.1640625" style="890" customWidth="1"/>
    <col min="4115" max="4115" width="43.6640625" style="890" customWidth="1"/>
    <col min="4116" max="4116" width="193.33203125" style="890" customWidth="1"/>
    <col min="4117" max="4119" width="47.33203125" style="890" customWidth="1"/>
    <col min="4120" max="4120" width="43.6640625" style="890" customWidth="1"/>
    <col min="4121" max="4123" width="47.33203125" style="890" customWidth="1"/>
    <col min="4124" max="4124" width="44" style="890" customWidth="1"/>
    <col min="4125" max="4127" width="47.33203125" style="890" customWidth="1"/>
    <col min="4128" max="4128" width="43.6640625" style="890" customWidth="1"/>
    <col min="4129" max="4131" width="47.33203125" style="890" customWidth="1"/>
    <col min="4132" max="4132" width="43.6640625" style="890" customWidth="1"/>
    <col min="4133" max="4135" width="47.33203125" style="890" customWidth="1"/>
    <col min="4136" max="4136" width="43.6640625" style="890" customWidth="1"/>
    <col min="4137" max="4137" width="193.33203125" style="890" customWidth="1"/>
    <col min="4138" max="4153" width="56" style="890" customWidth="1"/>
    <col min="4154" max="4154" width="59" style="890" customWidth="1"/>
    <col min="4155" max="4155" width="46" style="890" customWidth="1"/>
    <col min="4156" max="4350" width="9.33203125" style="890"/>
    <col min="4351" max="4351" width="193.33203125" style="890" customWidth="1"/>
    <col min="4352" max="4352" width="47.1640625" style="890" customWidth="1"/>
    <col min="4353" max="4353" width="47.33203125" style="890" customWidth="1"/>
    <col min="4354" max="4354" width="47.1640625" style="890" customWidth="1"/>
    <col min="4355" max="4355" width="43.6640625" style="890" customWidth="1"/>
    <col min="4356" max="4357" width="47.33203125" style="890" customWidth="1"/>
    <col min="4358" max="4358" width="47.1640625" style="890" customWidth="1"/>
    <col min="4359" max="4359" width="43.6640625" style="890" customWidth="1"/>
    <col min="4360" max="4361" width="47.33203125" style="890" customWidth="1"/>
    <col min="4362" max="4362" width="47.1640625" style="890" customWidth="1"/>
    <col min="4363" max="4363" width="43.6640625" style="890" customWidth="1"/>
    <col min="4364" max="4365" width="45" style="890" customWidth="1"/>
    <col min="4366" max="4366" width="44.83203125" style="890" customWidth="1"/>
    <col min="4367" max="4367" width="45" style="890" customWidth="1"/>
    <col min="4368" max="4369" width="47.33203125" style="890" customWidth="1"/>
    <col min="4370" max="4370" width="47.1640625" style="890" customWidth="1"/>
    <col min="4371" max="4371" width="43.6640625" style="890" customWidth="1"/>
    <col min="4372" max="4372" width="193.33203125" style="890" customWidth="1"/>
    <col min="4373" max="4375" width="47.33203125" style="890" customWidth="1"/>
    <col min="4376" max="4376" width="43.6640625" style="890" customWidth="1"/>
    <col min="4377" max="4379" width="47.33203125" style="890" customWidth="1"/>
    <col min="4380" max="4380" width="44" style="890" customWidth="1"/>
    <col min="4381" max="4383" width="47.33203125" style="890" customWidth="1"/>
    <col min="4384" max="4384" width="43.6640625" style="890" customWidth="1"/>
    <col min="4385" max="4387" width="47.33203125" style="890" customWidth="1"/>
    <col min="4388" max="4388" width="43.6640625" style="890" customWidth="1"/>
    <col min="4389" max="4391" width="47.33203125" style="890" customWidth="1"/>
    <col min="4392" max="4392" width="43.6640625" style="890" customWidth="1"/>
    <col min="4393" max="4393" width="193.33203125" style="890" customWidth="1"/>
    <col min="4394" max="4409" width="56" style="890" customWidth="1"/>
    <col min="4410" max="4410" width="59" style="890" customWidth="1"/>
    <col min="4411" max="4411" width="46" style="890" customWidth="1"/>
    <col min="4412" max="4606" width="9.33203125" style="890"/>
    <col min="4607" max="4607" width="193.33203125" style="890" customWidth="1"/>
    <col min="4608" max="4608" width="47.1640625" style="890" customWidth="1"/>
    <col min="4609" max="4609" width="47.33203125" style="890" customWidth="1"/>
    <col min="4610" max="4610" width="47.1640625" style="890" customWidth="1"/>
    <col min="4611" max="4611" width="43.6640625" style="890" customWidth="1"/>
    <col min="4612" max="4613" width="47.33203125" style="890" customWidth="1"/>
    <col min="4614" max="4614" width="47.1640625" style="890" customWidth="1"/>
    <col min="4615" max="4615" width="43.6640625" style="890" customWidth="1"/>
    <col min="4616" max="4617" width="47.33203125" style="890" customWidth="1"/>
    <col min="4618" max="4618" width="47.1640625" style="890" customWidth="1"/>
    <col min="4619" max="4619" width="43.6640625" style="890" customWidth="1"/>
    <col min="4620" max="4621" width="45" style="890" customWidth="1"/>
    <col min="4622" max="4622" width="44.83203125" style="890" customWidth="1"/>
    <col min="4623" max="4623" width="45" style="890" customWidth="1"/>
    <col min="4624" max="4625" width="47.33203125" style="890" customWidth="1"/>
    <col min="4626" max="4626" width="47.1640625" style="890" customWidth="1"/>
    <col min="4627" max="4627" width="43.6640625" style="890" customWidth="1"/>
    <col min="4628" max="4628" width="193.33203125" style="890" customWidth="1"/>
    <col min="4629" max="4631" width="47.33203125" style="890" customWidth="1"/>
    <col min="4632" max="4632" width="43.6640625" style="890" customWidth="1"/>
    <col min="4633" max="4635" width="47.33203125" style="890" customWidth="1"/>
    <col min="4636" max="4636" width="44" style="890" customWidth="1"/>
    <col min="4637" max="4639" width="47.33203125" style="890" customWidth="1"/>
    <col min="4640" max="4640" width="43.6640625" style="890" customWidth="1"/>
    <col min="4641" max="4643" width="47.33203125" style="890" customWidth="1"/>
    <col min="4644" max="4644" width="43.6640625" style="890" customWidth="1"/>
    <col min="4645" max="4647" width="47.33203125" style="890" customWidth="1"/>
    <col min="4648" max="4648" width="43.6640625" style="890" customWidth="1"/>
    <col min="4649" max="4649" width="193.33203125" style="890" customWidth="1"/>
    <col min="4650" max="4665" width="56" style="890" customWidth="1"/>
    <col min="4666" max="4666" width="59" style="890" customWidth="1"/>
    <col min="4667" max="4667" width="46" style="890" customWidth="1"/>
    <col min="4668" max="4862" width="9.33203125" style="890"/>
    <col min="4863" max="4863" width="193.33203125" style="890" customWidth="1"/>
    <col min="4864" max="4864" width="47.1640625" style="890" customWidth="1"/>
    <col min="4865" max="4865" width="47.33203125" style="890" customWidth="1"/>
    <col min="4866" max="4866" width="47.1640625" style="890" customWidth="1"/>
    <col min="4867" max="4867" width="43.6640625" style="890" customWidth="1"/>
    <col min="4868" max="4869" width="47.33203125" style="890" customWidth="1"/>
    <col min="4870" max="4870" width="47.1640625" style="890" customWidth="1"/>
    <col min="4871" max="4871" width="43.6640625" style="890" customWidth="1"/>
    <col min="4872" max="4873" width="47.33203125" style="890" customWidth="1"/>
    <col min="4874" max="4874" width="47.1640625" style="890" customWidth="1"/>
    <col min="4875" max="4875" width="43.6640625" style="890" customWidth="1"/>
    <col min="4876" max="4877" width="45" style="890" customWidth="1"/>
    <col min="4878" max="4878" width="44.83203125" style="890" customWidth="1"/>
    <col min="4879" max="4879" width="45" style="890" customWidth="1"/>
    <col min="4880" max="4881" width="47.33203125" style="890" customWidth="1"/>
    <col min="4882" max="4882" width="47.1640625" style="890" customWidth="1"/>
    <col min="4883" max="4883" width="43.6640625" style="890" customWidth="1"/>
    <col min="4884" max="4884" width="193.33203125" style="890" customWidth="1"/>
    <col min="4885" max="4887" width="47.33203125" style="890" customWidth="1"/>
    <col min="4888" max="4888" width="43.6640625" style="890" customWidth="1"/>
    <col min="4889" max="4891" width="47.33203125" style="890" customWidth="1"/>
    <col min="4892" max="4892" width="44" style="890" customWidth="1"/>
    <col min="4893" max="4895" width="47.33203125" style="890" customWidth="1"/>
    <col min="4896" max="4896" width="43.6640625" style="890" customWidth="1"/>
    <col min="4897" max="4899" width="47.33203125" style="890" customWidth="1"/>
    <col min="4900" max="4900" width="43.6640625" style="890" customWidth="1"/>
    <col min="4901" max="4903" width="47.33203125" style="890" customWidth="1"/>
    <col min="4904" max="4904" width="43.6640625" style="890" customWidth="1"/>
    <col min="4905" max="4905" width="193.33203125" style="890" customWidth="1"/>
    <col min="4906" max="4921" width="56" style="890" customWidth="1"/>
    <col min="4922" max="4922" width="59" style="890" customWidth="1"/>
    <col min="4923" max="4923" width="46" style="890" customWidth="1"/>
    <col min="4924" max="5118" width="9.33203125" style="890"/>
    <col min="5119" max="5119" width="193.33203125" style="890" customWidth="1"/>
    <col min="5120" max="5120" width="47.1640625" style="890" customWidth="1"/>
    <col min="5121" max="5121" width="47.33203125" style="890" customWidth="1"/>
    <col min="5122" max="5122" width="47.1640625" style="890" customWidth="1"/>
    <col min="5123" max="5123" width="43.6640625" style="890" customWidth="1"/>
    <col min="5124" max="5125" width="47.33203125" style="890" customWidth="1"/>
    <col min="5126" max="5126" width="47.1640625" style="890" customWidth="1"/>
    <col min="5127" max="5127" width="43.6640625" style="890" customWidth="1"/>
    <col min="5128" max="5129" width="47.33203125" style="890" customWidth="1"/>
    <col min="5130" max="5130" width="47.1640625" style="890" customWidth="1"/>
    <col min="5131" max="5131" width="43.6640625" style="890" customWidth="1"/>
    <col min="5132" max="5133" width="45" style="890" customWidth="1"/>
    <col min="5134" max="5134" width="44.83203125" style="890" customWidth="1"/>
    <col min="5135" max="5135" width="45" style="890" customWidth="1"/>
    <col min="5136" max="5137" width="47.33203125" style="890" customWidth="1"/>
    <col min="5138" max="5138" width="47.1640625" style="890" customWidth="1"/>
    <col min="5139" max="5139" width="43.6640625" style="890" customWidth="1"/>
    <col min="5140" max="5140" width="193.33203125" style="890" customWidth="1"/>
    <col min="5141" max="5143" width="47.33203125" style="890" customWidth="1"/>
    <col min="5144" max="5144" width="43.6640625" style="890" customWidth="1"/>
    <col min="5145" max="5147" width="47.33203125" style="890" customWidth="1"/>
    <col min="5148" max="5148" width="44" style="890" customWidth="1"/>
    <col min="5149" max="5151" width="47.33203125" style="890" customWidth="1"/>
    <col min="5152" max="5152" width="43.6640625" style="890" customWidth="1"/>
    <col min="5153" max="5155" width="47.33203125" style="890" customWidth="1"/>
    <col min="5156" max="5156" width="43.6640625" style="890" customWidth="1"/>
    <col min="5157" max="5159" width="47.33203125" style="890" customWidth="1"/>
    <col min="5160" max="5160" width="43.6640625" style="890" customWidth="1"/>
    <col min="5161" max="5161" width="193.33203125" style="890" customWidth="1"/>
    <col min="5162" max="5177" width="56" style="890" customWidth="1"/>
    <col min="5178" max="5178" width="59" style="890" customWidth="1"/>
    <col min="5179" max="5179" width="46" style="890" customWidth="1"/>
    <col min="5180" max="5374" width="9.33203125" style="890"/>
    <col min="5375" max="5375" width="193.33203125" style="890" customWidth="1"/>
    <col min="5376" max="5376" width="47.1640625" style="890" customWidth="1"/>
    <col min="5377" max="5377" width="47.33203125" style="890" customWidth="1"/>
    <col min="5378" max="5378" width="47.1640625" style="890" customWidth="1"/>
    <col min="5379" max="5379" width="43.6640625" style="890" customWidth="1"/>
    <col min="5380" max="5381" width="47.33203125" style="890" customWidth="1"/>
    <col min="5382" max="5382" width="47.1640625" style="890" customWidth="1"/>
    <col min="5383" max="5383" width="43.6640625" style="890" customWidth="1"/>
    <col min="5384" max="5385" width="47.33203125" style="890" customWidth="1"/>
    <col min="5386" max="5386" width="47.1640625" style="890" customWidth="1"/>
    <col min="5387" max="5387" width="43.6640625" style="890" customWidth="1"/>
    <col min="5388" max="5389" width="45" style="890" customWidth="1"/>
    <col min="5390" max="5390" width="44.83203125" style="890" customWidth="1"/>
    <col min="5391" max="5391" width="45" style="890" customWidth="1"/>
    <col min="5392" max="5393" width="47.33203125" style="890" customWidth="1"/>
    <col min="5394" max="5394" width="47.1640625" style="890" customWidth="1"/>
    <col min="5395" max="5395" width="43.6640625" style="890" customWidth="1"/>
    <col min="5396" max="5396" width="193.33203125" style="890" customWidth="1"/>
    <col min="5397" max="5399" width="47.33203125" style="890" customWidth="1"/>
    <col min="5400" max="5400" width="43.6640625" style="890" customWidth="1"/>
    <col min="5401" max="5403" width="47.33203125" style="890" customWidth="1"/>
    <col min="5404" max="5404" width="44" style="890" customWidth="1"/>
    <col min="5405" max="5407" width="47.33203125" style="890" customWidth="1"/>
    <col min="5408" max="5408" width="43.6640625" style="890" customWidth="1"/>
    <col min="5409" max="5411" width="47.33203125" style="890" customWidth="1"/>
    <col min="5412" max="5412" width="43.6640625" style="890" customWidth="1"/>
    <col min="5413" max="5415" width="47.33203125" style="890" customWidth="1"/>
    <col min="5416" max="5416" width="43.6640625" style="890" customWidth="1"/>
    <col min="5417" max="5417" width="193.33203125" style="890" customWidth="1"/>
    <col min="5418" max="5433" width="56" style="890" customWidth="1"/>
    <col min="5434" max="5434" width="59" style="890" customWidth="1"/>
    <col min="5435" max="5435" width="46" style="890" customWidth="1"/>
    <col min="5436" max="5630" width="9.33203125" style="890"/>
    <col min="5631" max="5631" width="193.33203125" style="890" customWidth="1"/>
    <col min="5632" max="5632" width="47.1640625" style="890" customWidth="1"/>
    <col min="5633" max="5633" width="47.33203125" style="890" customWidth="1"/>
    <col min="5634" max="5634" width="47.1640625" style="890" customWidth="1"/>
    <col min="5635" max="5635" width="43.6640625" style="890" customWidth="1"/>
    <col min="5636" max="5637" width="47.33203125" style="890" customWidth="1"/>
    <col min="5638" max="5638" width="47.1640625" style="890" customWidth="1"/>
    <col min="5639" max="5639" width="43.6640625" style="890" customWidth="1"/>
    <col min="5640" max="5641" width="47.33203125" style="890" customWidth="1"/>
    <col min="5642" max="5642" width="47.1640625" style="890" customWidth="1"/>
    <col min="5643" max="5643" width="43.6640625" style="890" customWidth="1"/>
    <col min="5644" max="5645" width="45" style="890" customWidth="1"/>
    <col min="5646" max="5646" width="44.83203125" style="890" customWidth="1"/>
    <col min="5647" max="5647" width="45" style="890" customWidth="1"/>
    <col min="5648" max="5649" width="47.33203125" style="890" customWidth="1"/>
    <col min="5650" max="5650" width="47.1640625" style="890" customWidth="1"/>
    <col min="5651" max="5651" width="43.6640625" style="890" customWidth="1"/>
    <col min="5652" max="5652" width="193.33203125" style="890" customWidth="1"/>
    <col min="5653" max="5655" width="47.33203125" style="890" customWidth="1"/>
    <col min="5656" max="5656" width="43.6640625" style="890" customWidth="1"/>
    <col min="5657" max="5659" width="47.33203125" style="890" customWidth="1"/>
    <col min="5660" max="5660" width="44" style="890" customWidth="1"/>
    <col min="5661" max="5663" width="47.33203125" style="890" customWidth="1"/>
    <col min="5664" max="5664" width="43.6640625" style="890" customWidth="1"/>
    <col min="5665" max="5667" width="47.33203125" style="890" customWidth="1"/>
    <col min="5668" max="5668" width="43.6640625" style="890" customWidth="1"/>
    <col min="5669" max="5671" width="47.33203125" style="890" customWidth="1"/>
    <col min="5672" max="5672" width="43.6640625" style="890" customWidth="1"/>
    <col min="5673" max="5673" width="193.33203125" style="890" customWidth="1"/>
    <col min="5674" max="5689" width="56" style="890" customWidth="1"/>
    <col min="5690" max="5690" width="59" style="890" customWidth="1"/>
    <col min="5691" max="5691" width="46" style="890" customWidth="1"/>
    <col min="5692" max="5886" width="9.33203125" style="890"/>
    <col min="5887" max="5887" width="193.33203125" style="890" customWidth="1"/>
    <col min="5888" max="5888" width="47.1640625" style="890" customWidth="1"/>
    <col min="5889" max="5889" width="47.33203125" style="890" customWidth="1"/>
    <col min="5890" max="5890" width="47.1640625" style="890" customWidth="1"/>
    <col min="5891" max="5891" width="43.6640625" style="890" customWidth="1"/>
    <col min="5892" max="5893" width="47.33203125" style="890" customWidth="1"/>
    <col min="5894" max="5894" width="47.1640625" style="890" customWidth="1"/>
    <col min="5895" max="5895" width="43.6640625" style="890" customWidth="1"/>
    <col min="5896" max="5897" width="47.33203125" style="890" customWidth="1"/>
    <col min="5898" max="5898" width="47.1640625" style="890" customWidth="1"/>
    <col min="5899" max="5899" width="43.6640625" style="890" customWidth="1"/>
    <col min="5900" max="5901" width="45" style="890" customWidth="1"/>
    <col min="5902" max="5902" width="44.83203125" style="890" customWidth="1"/>
    <col min="5903" max="5903" width="45" style="890" customWidth="1"/>
    <col min="5904" max="5905" width="47.33203125" style="890" customWidth="1"/>
    <col min="5906" max="5906" width="47.1640625" style="890" customWidth="1"/>
    <col min="5907" max="5907" width="43.6640625" style="890" customWidth="1"/>
    <col min="5908" max="5908" width="193.33203125" style="890" customWidth="1"/>
    <col min="5909" max="5911" width="47.33203125" style="890" customWidth="1"/>
    <col min="5912" max="5912" width="43.6640625" style="890" customWidth="1"/>
    <col min="5913" max="5915" width="47.33203125" style="890" customWidth="1"/>
    <col min="5916" max="5916" width="44" style="890" customWidth="1"/>
    <col min="5917" max="5919" width="47.33203125" style="890" customWidth="1"/>
    <col min="5920" max="5920" width="43.6640625" style="890" customWidth="1"/>
    <col min="5921" max="5923" width="47.33203125" style="890" customWidth="1"/>
    <col min="5924" max="5924" width="43.6640625" style="890" customWidth="1"/>
    <col min="5925" max="5927" width="47.33203125" style="890" customWidth="1"/>
    <col min="5928" max="5928" width="43.6640625" style="890" customWidth="1"/>
    <col min="5929" max="5929" width="193.33203125" style="890" customWidth="1"/>
    <col min="5930" max="5945" width="56" style="890" customWidth="1"/>
    <col min="5946" max="5946" width="59" style="890" customWidth="1"/>
    <col min="5947" max="5947" width="46" style="890" customWidth="1"/>
    <col min="5948" max="6142" width="9.33203125" style="890"/>
    <col min="6143" max="6143" width="193.33203125" style="890" customWidth="1"/>
    <col min="6144" max="6144" width="47.1640625" style="890" customWidth="1"/>
    <col min="6145" max="6145" width="47.33203125" style="890" customWidth="1"/>
    <col min="6146" max="6146" width="47.1640625" style="890" customWidth="1"/>
    <col min="6147" max="6147" width="43.6640625" style="890" customWidth="1"/>
    <col min="6148" max="6149" width="47.33203125" style="890" customWidth="1"/>
    <col min="6150" max="6150" width="47.1640625" style="890" customWidth="1"/>
    <col min="6151" max="6151" width="43.6640625" style="890" customWidth="1"/>
    <col min="6152" max="6153" width="47.33203125" style="890" customWidth="1"/>
    <col min="6154" max="6154" width="47.1640625" style="890" customWidth="1"/>
    <col min="6155" max="6155" width="43.6640625" style="890" customWidth="1"/>
    <col min="6156" max="6157" width="45" style="890" customWidth="1"/>
    <col min="6158" max="6158" width="44.83203125" style="890" customWidth="1"/>
    <col min="6159" max="6159" width="45" style="890" customWidth="1"/>
    <col min="6160" max="6161" width="47.33203125" style="890" customWidth="1"/>
    <col min="6162" max="6162" width="47.1640625" style="890" customWidth="1"/>
    <col min="6163" max="6163" width="43.6640625" style="890" customWidth="1"/>
    <col min="6164" max="6164" width="193.33203125" style="890" customWidth="1"/>
    <col min="6165" max="6167" width="47.33203125" style="890" customWidth="1"/>
    <col min="6168" max="6168" width="43.6640625" style="890" customWidth="1"/>
    <col min="6169" max="6171" width="47.33203125" style="890" customWidth="1"/>
    <col min="6172" max="6172" width="44" style="890" customWidth="1"/>
    <col min="6173" max="6175" width="47.33203125" style="890" customWidth="1"/>
    <col min="6176" max="6176" width="43.6640625" style="890" customWidth="1"/>
    <col min="6177" max="6179" width="47.33203125" style="890" customWidth="1"/>
    <col min="6180" max="6180" width="43.6640625" style="890" customWidth="1"/>
    <col min="6181" max="6183" width="47.33203125" style="890" customWidth="1"/>
    <col min="6184" max="6184" width="43.6640625" style="890" customWidth="1"/>
    <col min="6185" max="6185" width="193.33203125" style="890" customWidth="1"/>
    <col min="6186" max="6201" width="56" style="890" customWidth="1"/>
    <col min="6202" max="6202" width="59" style="890" customWidth="1"/>
    <col min="6203" max="6203" width="46" style="890" customWidth="1"/>
    <col min="6204" max="6398" width="9.33203125" style="890"/>
    <col min="6399" max="6399" width="193.33203125" style="890" customWidth="1"/>
    <col min="6400" max="6400" width="47.1640625" style="890" customWidth="1"/>
    <col min="6401" max="6401" width="47.33203125" style="890" customWidth="1"/>
    <col min="6402" max="6402" width="47.1640625" style="890" customWidth="1"/>
    <col min="6403" max="6403" width="43.6640625" style="890" customWidth="1"/>
    <col min="6404" max="6405" width="47.33203125" style="890" customWidth="1"/>
    <col min="6406" max="6406" width="47.1640625" style="890" customWidth="1"/>
    <col min="6407" max="6407" width="43.6640625" style="890" customWidth="1"/>
    <col min="6408" max="6409" width="47.33203125" style="890" customWidth="1"/>
    <col min="6410" max="6410" width="47.1640625" style="890" customWidth="1"/>
    <col min="6411" max="6411" width="43.6640625" style="890" customWidth="1"/>
    <col min="6412" max="6413" width="45" style="890" customWidth="1"/>
    <col min="6414" max="6414" width="44.83203125" style="890" customWidth="1"/>
    <col min="6415" max="6415" width="45" style="890" customWidth="1"/>
    <col min="6416" max="6417" width="47.33203125" style="890" customWidth="1"/>
    <col min="6418" max="6418" width="47.1640625" style="890" customWidth="1"/>
    <col min="6419" max="6419" width="43.6640625" style="890" customWidth="1"/>
    <col min="6420" max="6420" width="193.33203125" style="890" customWidth="1"/>
    <col min="6421" max="6423" width="47.33203125" style="890" customWidth="1"/>
    <col min="6424" max="6424" width="43.6640625" style="890" customWidth="1"/>
    <col min="6425" max="6427" width="47.33203125" style="890" customWidth="1"/>
    <col min="6428" max="6428" width="44" style="890" customWidth="1"/>
    <col min="6429" max="6431" width="47.33203125" style="890" customWidth="1"/>
    <col min="6432" max="6432" width="43.6640625" style="890" customWidth="1"/>
    <col min="6433" max="6435" width="47.33203125" style="890" customWidth="1"/>
    <col min="6436" max="6436" width="43.6640625" style="890" customWidth="1"/>
    <col min="6437" max="6439" width="47.33203125" style="890" customWidth="1"/>
    <col min="6440" max="6440" width="43.6640625" style="890" customWidth="1"/>
    <col min="6441" max="6441" width="193.33203125" style="890" customWidth="1"/>
    <col min="6442" max="6457" width="56" style="890" customWidth="1"/>
    <col min="6458" max="6458" width="59" style="890" customWidth="1"/>
    <col min="6459" max="6459" width="46" style="890" customWidth="1"/>
    <col min="6460" max="6654" width="9.33203125" style="890"/>
    <col min="6655" max="6655" width="193.33203125" style="890" customWidth="1"/>
    <col min="6656" max="6656" width="47.1640625" style="890" customWidth="1"/>
    <col min="6657" max="6657" width="47.33203125" style="890" customWidth="1"/>
    <col min="6658" max="6658" width="47.1640625" style="890" customWidth="1"/>
    <col min="6659" max="6659" width="43.6640625" style="890" customWidth="1"/>
    <col min="6660" max="6661" width="47.33203125" style="890" customWidth="1"/>
    <col min="6662" max="6662" width="47.1640625" style="890" customWidth="1"/>
    <col min="6663" max="6663" width="43.6640625" style="890" customWidth="1"/>
    <col min="6664" max="6665" width="47.33203125" style="890" customWidth="1"/>
    <col min="6666" max="6666" width="47.1640625" style="890" customWidth="1"/>
    <col min="6667" max="6667" width="43.6640625" style="890" customWidth="1"/>
    <col min="6668" max="6669" width="45" style="890" customWidth="1"/>
    <col min="6670" max="6670" width="44.83203125" style="890" customWidth="1"/>
    <col min="6671" max="6671" width="45" style="890" customWidth="1"/>
    <col min="6672" max="6673" width="47.33203125" style="890" customWidth="1"/>
    <col min="6674" max="6674" width="47.1640625" style="890" customWidth="1"/>
    <col min="6675" max="6675" width="43.6640625" style="890" customWidth="1"/>
    <col min="6676" max="6676" width="193.33203125" style="890" customWidth="1"/>
    <col min="6677" max="6679" width="47.33203125" style="890" customWidth="1"/>
    <col min="6680" max="6680" width="43.6640625" style="890" customWidth="1"/>
    <col min="6681" max="6683" width="47.33203125" style="890" customWidth="1"/>
    <col min="6684" max="6684" width="44" style="890" customWidth="1"/>
    <col min="6685" max="6687" width="47.33203125" style="890" customWidth="1"/>
    <col min="6688" max="6688" width="43.6640625" style="890" customWidth="1"/>
    <col min="6689" max="6691" width="47.33203125" style="890" customWidth="1"/>
    <col min="6692" max="6692" width="43.6640625" style="890" customWidth="1"/>
    <col min="6693" max="6695" width="47.33203125" style="890" customWidth="1"/>
    <col min="6696" max="6696" width="43.6640625" style="890" customWidth="1"/>
    <col min="6697" max="6697" width="193.33203125" style="890" customWidth="1"/>
    <col min="6698" max="6713" width="56" style="890" customWidth="1"/>
    <col min="6714" max="6714" width="59" style="890" customWidth="1"/>
    <col min="6715" max="6715" width="46" style="890" customWidth="1"/>
    <col min="6716" max="6910" width="9.33203125" style="890"/>
    <col min="6911" max="6911" width="193.33203125" style="890" customWidth="1"/>
    <col min="6912" max="6912" width="47.1640625" style="890" customWidth="1"/>
    <col min="6913" max="6913" width="47.33203125" style="890" customWidth="1"/>
    <col min="6914" max="6914" width="47.1640625" style="890" customWidth="1"/>
    <col min="6915" max="6915" width="43.6640625" style="890" customWidth="1"/>
    <col min="6916" max="6917" width="47.33203125" style="890" customWidth="1"/>
    <col min="6918" max="6918" width="47.1640625" style="890" customWidth="1"/>
    <col min="6919" max="6919" width="43.6640625" style="890" customWidth="1"/>
    <col min="6920" max="6921" width="47.33203125" style="890" customWidth="1"/>
    <col min="6922" max="6922" width="47.1640625" style="890" customWidth="1"/>
    <col min="6923" max="6923" width="43.6640625" style="890" customWidth="1"/>
    <col min="6924" max="6925" width="45" style="890" customWidth="1"/>
    <col min="6926" max="6926" width="44.83203125" style="890" customWidth="1"/>
    <col min="6927" max="6927" width="45" style="890" customWidth="1"/>
    <col min="6928" max="6929" width="47.33203125" style="890" customWidth="1"/>
    <col min="6930" max="6930" width="47.1640625" style="890" customWidth="1"/>
    <col min="6931" max="6931" width="43.6640625" style="890" customWidth="1"/>
    <col min="6932" max="6932" width="193.33203125" style="890" customWidth="1"/>
    <col min="6933" max="6935" width="47.33203125" style="890" customWidth="1"/>
    <col min="6936" max="6936" width="43.6640625" style="890" customWidth="1"/>
    <col min="6937" max="6939" width="47.33203125" style="890" customWidth="1"/>
    <col min="6940" max="6940" width="44" style="890" customWidth="1"/>
    <col min="6941" max="6943" width="47.33203125" style="890" customWidth="1"/>
    <col min="6944" max="6944" width="43.6640625" style="890" customWidth="1"/>
    <col min="6945" max="6947" width="47.33203125" style="890" customWidth="1"/>
    <col min="6948" max="6948" width="43.6640625" style="890" customWidth="1"/>
    <col min="6949" max="6951" width="47.33203125" style="890" customWidth="1"/>
    <col min="6952" max="6952" width="43.6640625" style="890" customWidth="1"/>
    <col min="6953" max="6953" width="193.33203125" style="890" customWidth="1"/>
    <col min="6954" max="6969" width="56" style="890" customWidth="1"/>
    <col min="6970" max="6970" width="59" style="890" customWidth="1"/>
    <col min="6971" max="6971" width="46" style="890" customWidth="1"/>
    <col min="6972" max="7166" width="9.33203125" style="890"/>
    <col min="7167" max="7167" width="193.33203125" style="890" customWidth="1"/>
    <col min="7168" max="7168" width="47.1640625" style="890" customWidth="1"/>
    <col min="7169" max="7169" width="47.33203125" style="890" customWidth="1"/>
    <col min="7170" max="7170" width="47.1640625" style="890" customWidth="1"/>
    <col min="7171" max="7171" width="43.6640625" style="890" customWidth="1"/>
    <col min="7172" max="7173" width="47.33203125" style="890" customWidth="1"/>
    <col min="7174" max="7174" width="47.1640625" style="890" customWidth="1"/>
    <col min="7175" max="7175" width="43.6640625" style="890" customWidth="1"/>
    <col min="7176" max="7177" width="47.33203125" style="890" customWidth="1"/>
    <col min="7178" max="7178" width="47.1640625" style="890" customWidth="1"/>
    <col min="7179" max="7179" width="43.6640625" style="890" customWidth="1"/>
    <col min="7180" max="7181" width="45" style="890" customWidth="1"/>
    <col min="7182" max="7182" width="44.83203125" style="890" customWidth="1"/>
    <col min="7183" max="7183" width="45" style="890" customWidth="1"/>
    <col min="7184" max="7185" width="47.33203125" style="890" customWidth="1"/>
    <col min="7186" max="7186" width="47.1640625" style="890" customWidth="1"/>
    <col min="7187" max="7187" width="43.6640625" style="890" customWidth="1"/>
    <col min="7188" max="7188" width="193.33203125" style="890" customWidth="1"/>
    <col min="7189" max="7191" width="47.33203125" style="890" customWidth="1"/>
    <col min="7192" max="7192" width="43.6640625" style="890" customWidth="1"/>
    <col min="7193" max="7195" width="47.33203125" style="890" customWidth="1"/>
    <col min="7196" max="7196" width="44" style="890" customWidth="1"/>
    <col min="7197" max="7199" width="47.33203125" style="890" customWidth="1"/>
    <col min="7200" max="7200" width="43.6640625" style="890" customWidth="1"/>
    <col min="7201" max="7203" width="47.33203125" style="890" customWidth="1"/>
    <col min="7204" max="7204" width="43.6640625" style="890" customWidth="1"/>
    <col min="7205" max="7207" width="47.33203125" style="890" customWidth="1"/>
    <col min="7208" max="7208" width="43.6640625" style="890" customWidth="1"/>
    <col min="7209" max="7209" width="193.33203125" style="890" customWidth="1"/>
    <col min="7210" max="7225" width="56" style="890" customWidth="1"/>
    <col min="7226" max="7226" width="59" style="890" customWidth="1"/>
    <col min="7227" max="7227" width="46" style="890" customWidth="1"/>
    <col min="7228" max="7422" width="9.33203125" style="890"/>
    <col min="7423" max="7423" width="193.33203125" style="890" customWidth="1"/>
    <col min="7424" max="7424" width="47.1640625" style="890" customWidth="1"/>
    <col min="7425" max="7425" width="47.33203125" style="890" customWidth="1"/>
    <col min="7426" max="7426" width="47.1640625" style="890" customWidth="1"/>
    <col min="7427" max="7427" width="43.6640625" style="890" customWidth="1"/>
    <col min="7428" max="7429" width="47.33203125" style="890" customWidth="1"/>
    <col min="7430" max="7430" width="47.1640625" style="890" customWidth="1"/>
    <col min="7431" max="7431" width="43.6640625" style="890" customWidth="1"/>
    <col min="7432" max="7433" width="47.33203125" style="890" customWidth="1"/>
    <col min="7434" max="7434" width="47.1640625" style="890" customWidth="1"/>
    <col min="7435" max="7435" width="43.6640625" style="890" customWidth="1"/>
    <col min="7436" max="7437" width="45" style="890" customWidth="1"/>
    <col min="7438" max="7438" width="44.83203125" style="890" customWidth="1"/>
    <col min="7439" max="7439" width="45" style="890" customWidth="1"/>
    <col min="7440" max="7441" width="47.33203125" style="890" customWidth="1"/>
    <col min="7442" max="7442" width="47.1640625" style="890" customWidth="1"/>
    <col min="7443" max="7443" width="43.6640625" style="890" customWidth="1"/>
    <col min="7444" max="7444" width="193.33203125" style="890" customWidth="1"/>
    <col min="7445" max="7447" width="47.33203125" style="890" customWidth="1"/>
    <col min="7448" max="7448" width="43.6640625" style="890" customWidth="1"/>
    <col min="7449" max="7451" width="47.33203125" style="890" customWidth="1"/>
    <col min="7452" max="7452" width="44" style="890" customWidth="1"/>
    <col min="7453" max="7455" width="47.33203125" style="890" customWidth="1"/>
    <col min="7456" max="7456" width="43.6640625" style="890" customWidth="1"/>
    <col min="7457" max="7459" width="47.33203125" style="890" customWidth="1"/>
    <col min="7460" max="7460" width="43.6640625" style="890" customWidth="1"/>
    <col min="7461" max="7463" width="47.33203125" style="890" customWidth="1"/>
    <col min="7464" max="7464" width="43.6640625" style="890" customWidth="1"/>
    <col min="7465" max="7465" width="193.33203125" style="890" customWidth="1"/>
    <col min="7466" max="7481" width="56" style="890" customWidth="1"/>
    <col min="7482" max="7482" width="59" style="890" customWidth="1"/>
    <col min="7483" max="7483" width="46" style="890" customWidth="1"/>
    <col min="7484" max="7678" width="9.33203125" style="890"/>
    <col min="7679" max="7679" width="193.33203125" style="890" customWidth="1"/>
    <col min="7680" max="7680" width="47.1640625" style="890" customWidth="1"/>
    <col min="7681" max="7681" width="47.33203125" style="890" customWidth="1"/>
    <col min="7682" max="7682" width="47.1640625" style="890" customWidth="1"/>
    <col min="7683" max="7683" width="43.6640625" style="890" customWidth="1"/>
    <col min="7684" max="7685" width="47.33203125" style="890" customWidth="1"/>
    <col min="7686" max="7686" width="47.1640625" style="890" customWidth="1"/>
    <col min="7687" max="7687" width="43.6640625" style="890" customWidth="1"/>
    <col min="7688" max="7689" width="47.33203125" style="890" customWidth="1"/>
    <col min="7690" max="7690" width="47.1640625" style="890" customWidth="1"/>
    <col min="7691" max="7691" width="43.6640625" style="890" customWidth="1"/>
    <col min="7692" max="7693" width="45" style="890" customWidth="1"/>
    <col min="7694" max="7694" width="44.83203125" style="890" customWidth="1"/>
    <col min="7695" max="7695" width="45" style="890" customWidth="1"/>
    <col min="7696" max="7697" width="47.33203125" style="890" customWidth="1"/>
    <col min="7698" max="7698" width="47.1640625" style="890" customWidth="1"/>
    <col min="7699" max="7699" width="43.6640625" style="890" customWidth="1"/>
    <col min="7700" max="7700" width="193.33203125" style="890" customWidth="1"/>
    <col min="7701" max="7703" width="47.33203125" style="890" customWidth="1"/>
    <col min="7704" max="7704" width="43.6640625" style="890" customWidth="1"/>
    <col min="7705" max="7707" width="47.33203125" style="890" customWidth="1"/>
    <col min="7708" max="7708" width="44" style="890" customWidth="1"/>
    <col min="7709" max="7711" width="47.33203125" style="890" customWidth="1"/>
    <col min="7712" max="7712" width="43.6640625" style="890" customWidth="1"/>
    <col min="7713" max="7715" width="47.33203125" style="890" customWidth="1"/>
    <col min="7716" max="7716" width="43.6640625" style="890" customWidth="1"/>
    <col min="7717" max="7719" width="47.33203125" style="890" customWidth="1"/>
    <col min="7720" max="7720" width="43.6640625" style="890" customWidth="1"/>
    <col min="7721" max="7721" width="193.33203125" style="890" customWidth="1"/>
    <col min="7722" max="7737" width="56" style="890" customWidth="1"/>
    <col min="7738" max="7738" width="59" style="890" customWidth="1"/>
    <col min="7739" max="7739" width="46" style="890" customWidth="1"/>
    <col min="7740" max="7934" width="9.33203125" style="890"/>
    <col min="7935" max="7935" width="193.33203125" style="890" customWidth="1"/>
    <col min="7936" max="7936" width="47.1640625" style="890" customWidth="1"/>
    <col min="7937" max="7937" width="47.33203125" style="890" customWidth="1"/>
    <col min="7938" max="7938" width="47.1640625" style="890" customWidth="1"/>
    <col min="7939" max="7939" width="43.6640625" style="890" customWidth="1"/>
    <col min="7940" max="7941" width="47.33203125" style="890" customWidth="1"/>
    <col min="7942" max="7942" width="47.1640625" style="890" customWidth="1"/>
    <col min="7943" max="7943" width="43.6640625" style="890" customWidth="1"/>
    <col min="7944" max="7945" width="47.33203125" style="890" customWidth="1"/>
    <col min="7946" max="7946" width="47.1640625" style="890" customWidth="1"/>
    <col min="7947" max="7947" width="43.6640625" style="890" customWidth="1"/>
    <col min="7948" max="7949" width="45" style="890" customWidth="1"/>
    <col min="7950" max="7950" width="44.83203125" style="890" customWidth="1"/>
    <col min="7951" max="7951" width="45" style="890" customWidth="1"/>
    <col min="7952" max="7953" width="47.33203125" style="890" customWidth="1"/>
    <col min="7954" max="7954" width="47.1640625" style="890" customWidth="1"/>
    <col min="7955" max="7955" width="43.6640625" style="890" customWidth="1"/>
    <col min="7956" max="7956" width="193.33203125" style="890" customWidth="1"/>
    <col min="7957" max="7959" width="47.33203125" style="890" customWidth="1"/>
    <col min="7960" max="7960" width="43.6640625" style="890" customWidth="1"/>
    <col min="7961" max="7963" width="47.33203125" style="890" customWidth="1"/>
    <col min="7964" max="7964" width="44" style="890" customWidth="1"/>
    <col min="7965" max="7967" width="47.33203125" style="890" customWidth="1"/>
    <col min="7968" max="7968" width="43.6640625" style="890" customWidth="1"/>
    <col min="7969" max="7971" width="47.33203125" style="890" customWidth="1"/>
    <col min="7972" max="7972" width="43.6640625" style="890" customWidth="1"/>
    <col min="7973" max="7975" width="47.33203125" style="890" customWidth="1"/>
    <col min="7976" max="7976" width="43.6640625" style="890" customWidth="1"/>
    <col min="7977" max="7977" width="193.33203125" style="890" customWidth="1"/>
    <col min="7978" max="7993" width="56" style="890" customWidth="1"/>
    <col min="7994" max="7994" width="59" style="890" customWidth="1"/>
    <col min="7995" max="7995" width="46" style="890" customWidth="1"/>
    <col min="7996" max="8190" width="9.33203125" style="890"/>
    <col min="8191" max="8191" width="193.33203125" style="890" customWidth="1"/>
    <col min="8192" max="8192" width="47.1640625" style="890" customWidth="1"/>
    <col min="8193" max="8193" width="47.33203125" style="890" customWidth="1"/>
    <col min="8194" max="8194" width="47.1640625" style="890" customWidth="1"/>
    <col min="8195" max="8195" width="43.6640625" style="890" customWidth="1"/>
    <col min="8196" max="8197" width="47.33203125" style="890" customWidth="1"/>
    <col min="8198" max="8198" width="47.1640625" style="890" customWidth="1"/>
    <col min="8199" max="8199" width="43.6640625" style="890" customWidth="1"/>
    <col min="8200" max="8201" width="47.33203125" style="890" customWidth="1"/>
    <col min="8202" max="8202" width="47.1640625" style="890" customWidth="1"/>
    <col min="8203" max="8203" width="43.6640625" style="890" customWidth="1"/>
    <col min="8204" max="8205" width="45" style="890" customWidth="1"/>
    <col min="8206" max="8206" width="44.83203125" style="890" customWidth="1"/>
    <col min="8207" max="8207" width="45" style="890" customWidth="1"/>
    <col min="8208" max="8209" width="47.33203125" style="890" customWidth="1"/>
    <col min="8210" max="8210" width="47.1640625" style="890" customWidth="1"/>
    <col min="8211" max="8211" width="43.6640625" style="890" customWidth="1"/>
    <col min="8212" max="8212" width="193.33203125" style="890" customWidth="1"/>
    <col min="8213" max="8215" width="47.33203125" style="890" customWidth="1"/>
    <col min="8216" max="8216" width="43.6640625" style="890" customWidth="1"/>
    <col min="8217" max="8219" width="47.33203125" style="890" customWidth="1"/>
    <col min="8220" max="8220" width="44" style="890" customWidth="1"/>
    <col min="8221" max="8223" width="47.33203125" style="890" customWidth="1"/>
    <col min="8224" max="8224" width="43.6640625" style="890" customWidth="1"/>
    <col min="8225" max="8227" width="47.33203125" style="890" customWidth="1"/>
    <col min="8228" max="8228" width="43.6640625" style="890" customWidth="1"/>
    <col min="8229" max="8231" width="47.33203125" style="890" customWidth="1"/>
    <col min="8232" max="8232" width="43.6640625" style="890" customWidth="1"/>
    <col min="8233" max="8233" width="193.33203125" style="890" customWidth="1"/>
    <col min="8234" max="8249" width="56" style="890" customWidth="1"/>
    <col min="8250" max="8250" width="59" style="890" customWidth="1"/>
    <col min="8251" max="8251" width="46" style="890" customWidth="1"/>
    <col min="8252" max="8446" width="9.33203125" style="890"/>
    <col min="8447" max="8447" width="193.33203125" style="890" customWidth="1"/>
    <col min="8448" max="8448" width="47.1640625" style="890" customWidth="1"/>
    <col min="8449" max="8449" width="47.33203125" style="890" customWidth="1"/>
    <col min="8450" max="8450" width="47.1640625" style="890" customWidth="1"/>
    <col min="8451" max="8451" width="43.6640625" style="890" customWidth="1"/>
    <col min="8452" max="8453" width="47.33203125" style="890" customWidth="1"/>
    <col min="8454" max="8454" width="47.1640625" style="890" customWidth="1"/>
    <col min="8455" max="8455" width="43.6640625" style="890" customWidth="1"/>
    <col min="8456" max="8457" width="47.33203125" style="890" customWidth="1"/>
    <col min="8458" max="8458" width="47.1640625" style="890" customWidth="1"/>
    <col min="8459" max="8459" width="43.6640625" style="890" customWidth="1"/>
    <col min="8460" max="8461" width="45" style="890" customWidth="1"/>
    <col min="8462" max="8462" width="44.83203125" style="890" customWidth="1"/>
    <col min="8463" max="8463" width="45" style="890" customWidth="1"/>
    <col min="8464" max="8465" width="47.33203125" style="890" customWidth="1"/>
    <col min="8466" max="8466" width="47.1640625" style="890" customWidth="1"/>
    <col min="8467" max="8467" width="43.6640625" style="890" customWidth="1"/>
    <col min="8468" max="8468" width="193.33203125" style="890" customWidth="1"/>
    <col min="8469" max="8471" width="47.33203125" style="890" customWidth="1"/>
    <col min="8472" max="8472" width="43.6640625" style="890" customWidth="1"/>
    <col min="8473" max="8475" width="47.33203125" style="890" customWidth="1"/>
    <col min="8476" max="8476" width="44" style="890" customWidth="1"/>
    <col min="8477" max="8479" width="47.33203125" style="890" customWidth="1"/>
    <col min="8480" max="8480" width="43.6640625" style="890" customWidth="1"/>
    <col min="8481" max="8483" width="47.33203125" style="890" customWidth="1"/>
    <col min="8484" max="8484" width="43.6640625" style="890" customWidth="1"/>
    <col min="8485" max="8487" width="47.33203125" style="890" customWidth="1"/>
    <col min="8488" max="8488" width="43.6640625" style="890" customWidth="1"/>
    <col min="8489" max="8489" width="193.33203125" style="890" customWidth="1"/>
    <col min="8490" max="8505" width="56" style="890" customWidth="1"/>
    <col min="8506" max="8506" width="59" style="890" customWidth="1"/>
    <col min="8507" max="8507" width="46" style="890" customWidth="1"/>
    <col min="8508" max="8702" width="9.33203125" style="890"/>
    <col min="8703" max="8703" width="193.33203125" style="890" customWidth="1"/>
    <col min="8704" max="8704" width="47.1640625" style="890" customWidth="1"/>
    <col min="8705" max="8705" width="47.33203125" style="890" customWidth="1"/>
    <col min="8706" max="8706" width="47.1640625" style="890" customWidth="1"/>
    <col min="8707" max="8707" width="43.6640625" style="890" customWidth="1"/>
    <col min="8708" max="8709" width="47.33203125" style="890" customWidth="1"/>
    <col min="8710" max="8710" width="47.1640625" style="890" customWidth="1"/>
    <col min="8711" max="8711" width="43.6640625" style="890" customWidth="1"/>
    <col min="8712" max="8713" width="47.33203125" style="890" customWidth="1"/>
    <col min="8714" max="8714" width="47.1640625" style="890" customWidth="1"/>
    <col min="8715" max="8715" width="43.6640625" style="890" customWidth="1"/>
    <col min="8716" max="8717" width="45" style="890" customWidth="1"/>
    <col min="8718" max="8718" width="44.83203125" style="890" customWidth="1"/>
    <col min="8719" max="8719" width="45" style="890" customWidth="1"/>
    <col min="8720" max="8721" width="47.33203125" style="890" customWidth="1"/>
    <col min="8722" max="8722" width="47.1640625" style="890" customWidth="1"/>
    <col min="8723" max="8723" width="43.6640625" style="890" customWidth="1"/>
    <col min="8724" max="8724" width="193.33203125" style="890" customWidth="1"/>
    <col min="8725" max="8727" width="47.33203125" style="890" customWidth="1"/>
    <col min="8728" max="8728" width="43.6640625" style="890" customWidth="1"/>
    <col min="8729" max="8731" width="47.33203125" style="890" customWidth="1"/>
    <col min="8732" max="8732" width="44" style="890" customWidth="1"/>
    <col min="8733" max="8735" width="47.33203125" style="890" customWidth="1"/>
    <col min="8736" max="8736" width="43.6640625" style="890" customWidth="1"/>
    <col min="8737" max="8739" width="47.33203125" style="890" customWidth="1"/>
    <col min="8740" max="8740" width="43.6640625" style="890" customWidth="1"/>
    <col min="8741" max="8743" width="47.33203125" style="890" customWidth="1"/>
    <col min="8744" max="8744" width="43.6640625" style="890" customWidth="1"/>
    <col min="8745" max="8745" width="193.33203125" style="890" customWidth="1"/>
    <col min="8746" max="8761" width="56" style="890" customWidth="1"/>
    <col min="8762" max="8762" width="59" style="890" customWidth="1"/>
    <col min="8763" max="8763" width="46" style="890" customWidth="1"/>
    <col min="8764" max="8958" width="9.33203125" style="890"/>
    <col min="8959" max="8959" width="193.33203125" style="890" customWidth="1"/>
    <col min="8960" max="8960" width="47.1640625" style="890" customWidth="1"/>
    <col min="8961" max="8961" width="47.33203125" style="890" customWidth="1"/>
    <col min="8962" max="8962" width="47.1640625" style="890" customWidth="1"/>
    <col min="8963" max="8963" width="43.6640625" style="890" customWidth="1"/>
    <col min="8964" max="8965" width="47.33203125" style="890" customWidth="1"/>
    <col min="8966" max="8966" width="47.1640625" style="890" customWidth="1"/>
    <col min="8967" max="8967" width="43.6640625" style="890" customWidth="1"/>
    <col min="8968" max="8969" width="47.33203125" style="890" customWidth="1"/>
    <col min="8970" max="8970" width="47.1640625" style="890" customWidth="1"/>
    <col min="8971" max="8971" width="43.6640625" style="890" customWidth="1"/>
    <col min="8972" max="8973" width="45" style="890" customWidth="1"/>
    <col min="8974" max="8974" width="44.83203125" style="890" customWidth="1"/>
    <col min="8975" max="8975" width="45" style="890" customWidth="1"/>
    <col min="8976" max="8977" width="47.33203125" style="890" customWidth="1"/>
    <col min="8978" max="8978" width="47.1640625" style="890" customWidth="1"/>
    <col min="8979" max="8979" width="43.6640625" style="890" customWidth="1"/>
    <col min="8980" max="8980" width="193.33203125" style="890" customWidth="1"/>
    <col min="8981" max="8983" width="47.33203125" style="890" customWidth="1"/>
    <col min="8984" max="8984" width="43.6640625" style="890" customWidth="1"/>
    <col min="8985" max="8987" width="47.33203125" style="890" customWidth="1"/>
    <col min="8988" max="8988" width="44" style="890" customWidth="1"/>
    <col min="8989" max="8991" width="47.33203125" style="890" customWidth="1"/>
    <col min="8992" max="8992" width="43.6640625" style="890" customWidth="1"/>
    <col min="8993" max="8995" width="47.33203125" style="890" customWidth="1"/>
    <col min="8996" max="8996" width="43.6640625" style="890" customWidth="1"/>
    <col min="8997" max="8999" width="47.33203125" style="890" customWidth="1"/>
    <col min="9000" max="9000" width="43.6640625" style="890" customWidth="1"/>
    <col min="9001" max="9001" width="193.33203125" style="890" customWidth="1"/>
    <col min="9002" max="9017" width="56" style="890" customWidth="1"/>
    <col min="9018" max="9018" width="59" style="890" customWidth="1"/>
    <col min="9019" max="9019" width="46" style="890" customWidth="1"/>
    <col min="9020" max="9214" width="9.33203125" style="890"/>
    <col min="9215" max="9215" width="193.33203125" style="890" customWidth="1"/>
    <col min="9216" max="9216" width="47.1640625" style="890" customWidth="1"/>
    <col min="9217" max="9217" width="47.33203125" style="890" customWidth="1"/>
    <col min="9218" max="9218" width="47.1640625" style="890" customWidth="1"/>
    <col min="9219" max="9219" width="43.6640625" style="890" customWidth="1"/>
    <col min="9220" max="9221" width="47.33203125" style="890" customWidth="1"/>
    <col min="9222" max="9222" width="47.1640625" style="890" customWidth="1"/>
    <col min="9223" max="9223" width="43.6640625" style="890" customWidth="1"/>
    <col min="9224" max="9225" width="47.33203125" style="890" customWidth="1"/>
    <col min="9226" max="9226" width="47.1640625" style="890" customWidth="1"/>
    <col min="9227" max="9227" width="43.6640625" style="890" customWidth="1"/>
    <col min="9228" max="9229" width="45" style="890" customWidth="1"/>
    <col min="9230" max="9230" width="44.83203125" style="890" customWidth="1"/>
    <col min="9231" max="9231" width="45" style="890" customWidth="1"/>
    <col min="9232" max="9233" width="47.33203125" style="890" customWidth="1"/>
    <col min="9234" max="9234" width="47.1640625" style="890" customWidth="1"/>
    <col min="9235" max="9235" width="43.6640625" style="890" customWidth="1"/>
    <col min="9236" max="9236" width="193.33203125" style="890" customWidth="1"/>
    <col min="9237" max="9239" width="47.33203125" style="890" customWidth="1"/>
    <col min="9240" max="9240" width="43.6640625" style="890" customWidth="1"/>
    <col min="9241" max="9243" width="47.33203125" style="890" customWidth="1"/>
    <col min="9244" max="9244" width="44" style="890" customWidth="1"/>
    <col min="9245" max="9247" width="47.33203125" style="890" customWidth="1"/>
    <col min="9248" max="9248" width="43.6640625" style="890" customWidth="1"/>
    <col min="9249" max="9251" width="47.33203125" style="890" customWidth="1"/>
    <col min="9252" max="9252" width="43.6640625" style="890" customWidth="1"/>
    <col min="9253" max="9255" width="47.33203125" style="890" customWidth="1"/>
    <col min="9256" max="9256" width="43.6640625" style="890" customWidth="1"/>
    <col min="9257" max="9257" width="193.33203125" style="890" customWidth="1"/>
    <col min="9258" max="9273" width="56" style="890" customWidth="1"/>
    <col min="9274" max="9274" width="59" style="890" customWidth="1"/>
    <col min="9275" max="9275" width="46" style="890" customWidth="1"/>
    <col min="9276" max="9470" width="9.33203125" style="890"/>
    <col min="9471" max="9471" width="193.33203125" style="890" customWidth="1"/>
    <col min="9472" max="9472" width="47.1640625" style="890" customWidth="1"/>
    <col min="9473" max="9473" width="47.33203125" style="890" customWidth="1"/>
    <col min="9474" max="9474" width="47.1640625" style="890" customWidth="1"/>
    <col min="9475" max="9475" width="43.6640625" style="890" customWidth="1"/>
    <col min="9476" max="9477" width="47.33203125" style="890" customWidth="1"/>
    <col min="9478" max="9478" width="47.1640625" style="890" customWidth="1"/>
    <col min="9479" max="9479" width="43.6640625" style="890" customWidth="1"/>
    <col min="9480" max="9481" width="47.33203125" style="890" customWidth="1"/>
    <col min="9482" max="9482" width="47.1640625" style="890" customWidth="1"/>
    <col min="9483" max="9483" width="43.6640625" style="890" customWidth="1"/>
    <col min="9484" max="9485" width="45" style="890" customWidth="1"/>
    <col min="9486" max="9486" width="44.83203125" style="890" customWidth="1"/>
    <col min="9487" max="9487" width="45" style="890" customWidth="1"/>
    <col min="9488" max="9489" width="47.33203125" style="890" customWidth="1"/>
    <col min="9490" max="9490" width="47.1640625" style="890" customWidth="1"/>
    <col min="9491" max="9491" width="43.6640625" style="890" customWidth="1"/>
    <col min="9492" max="9492" width="193.33203125" style="890" customWidth="1"/>
    <col min="9493" max="9495" width="47.33203125" style="890" customWidth="1"/>
    <col min="9496" max="9496" width="43.6640625" style="890" customWidth="1"/>
    <col min="9497" max="9499" width="47.33203125" style="890" customWidth="1"/>
    <col min="9500" max="9500" width="44" style="890" customWidth="1"/>
    <col min="9501" max="9503" width="47.33203125" style="890" customWidth="1"/>
    <col min="9504" max="9504" width="43.6640625" style="890" customWidth="1"/>
    <col min="9505" max="9507" width="47.33203125" style="890" customWidth="1"/>
    <col min="9508" max="9508" width="43.6640625" style="890" customWidth="1"/>
    <col min="9509" max="9511" width="47.33203125" style="890" customWidth="1"/>
    <col min="9512" max="9512" width="43.6640625" style="890" customWidth="1"/>
    <col min="9513" max="9513" width="193.33203125" style="890" customWidth="1"/>
    <col min="9514" max="9529" width="56" style="890" customWidth="1"/>
    <col min="9530" max="9530" width="59" style="890" customWidth="1"/>
    <col min="9531" max="9531" width="46" style="890" customWidth="1"/>
    <col min="9532" max="9726" width="9.33203125" style="890"/>
    <col min="9727" max="9727" width="193.33203125" style="890" customWidth="1"/>
    <col min="9728" max="9728" width="47.1640625" style="890" customWidth="1"/>
    <col min="9729" max="9729" width="47.33203125" style="890" customWidth="1"/>
    <col min="9730" max="9730" width="47.1640625" style="890" customWidth="1"/>
    <col min="9731" max="9731" width="43.6640625" style="890" customWidth="1"/>
    <col min="9732" max="9733" width="47.33203125" style="890" customWidth="1"/>
    <col min="9734" max="9734" width="47.1640625" style="890" customWidth="1"/>
    <col min="9735" max="9735" width="43.6640625" style="890" customWidth="1"/>
    <col min="9736" max="9737" width="47.33203125" style="890" customWidth="1"/>
    <col min="9738" max="9738" width="47.1640625" style="890" customWidth="1"/>
    <col min="9739" max="9739" width="43.6640625" style="890" customWidth="1"/>
    <col min="9740" max="9741" width="45" style="890" customWidth="1"/>
    <col min="9742" max="9742" width="44.83203125" style="890" customWidth="1"/>
    <col min="9743" max="9743" width="45" style="890" customWidth="1"/>
    <col min="9744" max="9745" width="47.33203125" style="890" customWidth="1"/>
    <col min="9746" max="9746" width="47.1640625" style="890" customWidth="1"/>
    <col min="9747" max="9747" width="43.6640625" style="890" customWidth="1"/>
    <col min="9748" max="9748" width="193.33203125" style="890" customWidth="1"/>
    <col min="9749" max="9751" width="47.33203125" style="890" customWidth="1"/>
    <col min="9752" max="9752" width="43.6640625" style="890" customWidth="1"/>
    <col min="9753" max="9755" width="47.33203125" style="890" customWidth="1"/>
    <col min="9756" max="9756" width="44" style="890" customWidth="1"/>
    <col min="9757" max="9759" width="47.33203125" style="890" customWidth="1"/>
    <col min="9760" max="9760" width="43.6640625" style="890" customWidth="1"/>
    <col min="9761" max="9763" width="47.33203125" style="890" customWidth="1"/>
    <col min="9764" max="9764" width="43.6640625" style="890" customWidth="1"/>
    <col min="9765" max="9767" width="47.33203125" style="890" customWidth="1"/>
    <col min="9768" max="9768" width="43.6640625" style="890" customWidth="1"/>
    <col min="9769" max="9769" width="193.33203125" style="890" customWidth="1"/>
    <col min="9770" max="9785" width="56" style="890" customWidth="1"/>
    <col min="9786" max="9786" width="59" style="890" customWidth="1"/>
    <col min="9787" max="9787" width="46" style="890" customWidth="1"/>
    <col min="9788" max="9982" width="9.33203125" style="890"/>
    <col min="9983" max="9983" width="193.33203125" style="890" customWidth="1"/>
    <col min="9984" max="9984" width="47.1640625" style="890" customWidth="1"/>
    <col min="9985" max="9985" width="47.33203125" style="890" customWidth="1"/>
    <col min="9986" max="9986" width="47.1640625" style="890" customWidth="1"/>
    <col min="9987" max="9987" width="43.6640625" style="890" customWidth="1"/>
    <col min="9988" max="9989" width="47.33203125" style="890" customWidth="1"/>
    <col min="9990" max="9990" width="47.1640625" style="890" customWidth="1"/>
    <col min="9991" max="9991" width="43.6640625" style="890" customWidth="1"/>
    <col min="9992" max="9993" width="47.33203125" style="890" customWidth="1"/>
    <col min="9994" max="9994" width="47.1640625" style="890" customWidth="1"/>
    <col min="9995" max="9995" width="43.6640625" style="890" customWidth="1"/>
    <col min="9996" max="9997" width="45" style="890" customWidth="1"/>
    <col min="9998" max="9998" width="44.83203125" style="890" customWidth="1"/>
    <col min="9999" max="9999" width="45" style="890" customWidth="1"/>
    <col min="10000" max="10001" width="47.33203125" style="890" customWidth="1"/>
    <col min="10002" max="10002" width="47.1640625" style="890" customWidth="1"/>
    <col min="10003" max="10003" width="43.6640625" style="890" customWidth="1"/>
    <col min="10004" max="10004" width="193.33203125" style="890" customWidth="1"/>
    <col min="10005" max="10007" width="47.33203125" style="890" customWidth="1"/>
    <col min="10008" max="10008" width="43.6640625" style="890" customWidth="1"/>
    <col min="10009" max="10011" width="47.33203125" style="890" customWidth="1"/>
    <col min="10012" max="10012" width="44" style="890" customWidth="1"/>
    <col min="10013" max="10015" width="47.33203125" style="890" customWidth="1"/>
    <col min="10016" max="10016" width="43.6640625" style="890" customWidth="1"/>
    <col min="10017" max="10019" width="47.33203125" style="890" customWidth="1"/>
    <col min="10020" max="10020" width="43.6640625" style="890" customWidth="1"/>
    <col min="10021" max="10023" width="47.33203125" style="890" customWidth="1"/>
    <col min="10024" max="10024" width="43.6640625" style="890" customWidth="1"/>
    <col min="10025" max="10025" width="193.33203125" style="890" customWidth="1"/>
    <col min="10026" max="10041" width="56" style="890" customWidth="1"/>
    <col min="10042" max="10042" width="59" style="890" customWidth="1"/>
    <col min="10043" max="10043" width="46" style="890" customWidth="1"/>
    <col min="10044" max="10238" width="9.33203125" style="890"/>
    <col min="10239" max="10239" width="193.33203125" style="890" customWidth="1"/>
    <col min="10240" max="10240" width="47.1640625" style="890" customWidth="1"/>
    <col min="10241" max="10241" width="47.33203125" style="890" customWidth="1"/>
    <col min="10242" max="10242" width="47.1640625" style="890" customWidth="1"/>
    <col min="10243" max="10243" width="43.6640625" style="890" customWidth="1"/>
    <col min="10244" max="10245" width="47.33203125" style="890" customWidth="1"/>
    <col min="10246" max="10246" width="47.1640625" style="890" customWidth="1"/>
    <col min="10247" max="10247" width="43.6640625" style="890" customWidth="1"/>
    <col min="10248" max="10249" width="47.33203125" style="890" customWidth="1"/>
    <col min="10250" max="10250" width="47.1640625" style="890" customWidth="1"/>
    <col min="10251" max="10251" width="43.6640625" style="890" customWidth="1"/>
    <col min="10252" max="10253" width="45" style="890" customWidth="1"/>
    <col min="10254" max="10254" width="44.83203125" style="890" customWidth="1"/>
    <col min="10255" max="10255" width="45" style="890" customWidth="1"/>
    <col min="10256" max="10257" width="47.33203125" style="890" customWidth="1"/>
    <col min="10258" max="10258" width="47.1640625" style="890" customWidth="1"/>
    <col min="10259" max="10259" width="43.6640625" style="890" customWidth="1"/>
    <col min="10260" max="10260" width="193.33203125" style="890" customWidth="1"/>
    <col min="10261" max="10263" width="47.33203125" style="890" customWidth="1"/>
    <col min="10264" max="10264" width="43.6640625" style="890" customWidth="1"/>
    <col min="10265" max="10267" width="47.33203125" style="890" customWidth="1"/>
    <col min="10268" max="10268" width="44" style="890" customWidth="1"/>
    <col min="10269" max="10271" width="47.33203125" style="890" customWidth="1"/>
    <col min="10272" max="10272" width="43.6640625" style="890" customWidth="1"/>
    <col min="10273" max="10275" width="47.33203125" style="890" customWidth="1"/>
    <col min="10276" max="10276" width="43.6640625" style="890" customWidth="1"/>
    <col min="10277" max="10279" width="47.33203125" style="890" customWidth="1"/>
    <col min="10280" max="10280" width="43.6640625" style="890" customWidth="1"/>
    <col min="10281" max="10281" width="193.33203125" style="890" customWidth="1"/>
    <col min="10282" max="10297" width="56" style="890" customWidth="1"/>
    <col min="10298" max="10298" width="59" style="890" customWidth="1"/>
    <col min="10299" max="10299" width="46" style="890" customWidth="1"/>
    <col min="10300" max="10494" width="9.33203125" style="890"/>
    <col min="10495" max="10495" width="193.33203125" style="890" customWidth="1"/>
    <col min="10496" max="10496" width="47.1640625" style="890" customWidth="1"/>
    <col min="10497" max="10497" width="47.33203125" style="890" customWidth="1"/>
    <col min="10498" max="10498" width="47.1640625" style="890" customWidth="1"/>
    <col min="10499" max="10499" width="43.6640625" style="890" customWidth="1"/>
    <col min="10500" max="10501" width="47.33203125" style="890" customWidth="1"/>
    <col min="10502" max="10502" width="47.1640625" style="890" customWidth="1"/>
    <col min="10503" max="10503" width="43.6640625" style="890" customWidth="1"/>
    <col min="10504" max="10505" width="47.33203125" style="890" customWidth="1"/>
    <col min="10506" max="10506" width="47.1640625" style="890" customWidth="1"/>
    <col min="10507" max="10507" width="43.6640625" style="890" customWidth="1"/>
    <col min="10508" max="10509" width="45" style="890" customWidth="1"/>
    <col min="10510" max="10510" width="44.83203125" style="890" customWidth="1"/>
    <col min="10511" max="10511" width="45" style="890" customWidth="1"/>
    <col min="10512" max="10513" width="47.33203125" style="890" customWidth="1"/>
    <col min="10514" max="10514" width="47.1640625" style="890" customWidth="1"/>
    <col min="10515" max="10515" width="43.6640625" style="890" customWidth="1"/>
    <col min="10516" max="10516" width="193.33203125" style="890" customWidth="1"/>
    <col min="10517" max="10519" width="47.33203125" style="890" customWidth="1"/>
    <col min="10520" max="10520" width="43.6640625" style="890" customWidth="1"/>
    <col min="10521" max="10523" width="47.33203125" style="890" customWidth="1"/>
    <col min="10524" max="10524" width="44" style="890" customWidth="1"/>
    <col min="10525" max="10527" width="47.33203125" style="890" customWidth="1"/>
    <col min="10528" max="10528" width="43.6640625" style="890" customWidth="1"/>
    <col min="10529" max="10531" width="47.33203125" style="890" customWidth="1"/>
    <col min="10532" max="10532" width="43.6640625" style="890" customWidth="1"/>
    <col min="10533" max="10535" width="47.33203125" style="890" customWidth="1"/>
    <col min="10536" max="10536" width="43.6640625" style="890" customWidth="1"/>
    <col min="10537" max="10537" width="193.33203125" style="890" customWidth="1"/>
    <col min="10538" max="10553" width="56" style="890" customWidth="1"/>
    <col min="10554" max="10554" width="59" style="890" customWidth="1"/>
    <col min="10555" max="10555" width="46" style="890" customWidth="1"/>
    <col min="10556" max="10750" width="9.33203125" style="890"/>
    <col min="10751" max="10751" width="193.33203125" style="890" customWidth="1"/>
    <col min="10752" max="10752" width="47.1640625" style="890" customWidth="1"/>
    <col min="10753" max="10753" width="47.33203125" style="890" customWidth="1"/>
    <col min="10754" max="10754" width="47.1640625" style="890" customWidth="1"/>
    <col min="10755" max="10755" width="43.6640625" style="890" customWidth="1"/>
    <col min="10756" max="10757" width="47.33203125" style="890" customWidth="1"/>
    <col min="10758" max="10758" width="47.1640625" style="890" customWidth="1"/>
    <col min="10759" max="10759" width="43.6640625" style="890" customWidth="1"/>
    <col min="10760" max="10761" width="47.33203125" style="890" customWidth="1"/>
    <col min="10762" max="10762" width="47.1640625" style="890" customWidth="1"/>
    <col min="10763" max="10763" width="43.6640625" style="890" customWidth="1"/>
    <col min="10764" max="10765" width="45" style="890" customWidth="1"/>
    <col min="10766" max="10766" width="44.83203125" style="890" customWidth="1"/>
    <col min="10767" max="10767" width="45" style="890" customWidth="1"/>
    <col min="10768" max="10769" width="47.33203125" style="890" customWidth="1"/>
    <col min="10770" max="10770" width="47.1640625" style="890" customWidth="1"/>
    <col min="10771" max="10771" width="43.6640625" style="890" customWidth="1"/>
    <col min="10772" max="10772" width="193.33203125" style="890" customWidth="1"/>
    <col min="10773" max="10775" width="47.33203125" style="890" customWidth="1"/>
    <col min="10776" max="10776" width="43.6640625" style="890" customWidth="1"/>
    <col min="10777" max="10779" width="47.33203125" style="890" customWidth="1"/>
    <col min="10780" max="10780" width="44" style="890" customWidth="1"/>
    <col min="10781" max="10783" width="47.33203125" style="890" customWidth="1"/>
    <col min="10784" max="10784" width="43.6640625" style="890" customWidth="1"/>
    <col min="10785" max="10787" width="47.33203125" style="890" customWidth="1"/>
    <col min="10788" max="10788" width="43.6640625" style="890" customWidth="1"/>
    <col min="10789" max="10791" width="47.33203125" style="890" customWidth="1"/>
    <col min="10792" max="10792" width="43.6640625" style="890" customWidth="1"/>
    <col min="10793" max="10793" width="193.33203125" style="890" customWidth="1"/>
    <col min="10794" max="10809" width="56" style="890" customWidth="1"/>
    <col min="10810" max="10810" width="59" style="890" customWidth="1"/>
    <col min="10811" max="10811" width="46" style="890" customWidth="1"/>
    <col min="10812" max="11006" width="9.33203125" style="890"/>
    <col min="11007" max="11007" width="193.33203125" style="890" customWidth="1"/>
    <col min="11008" max="11008" width="47.1640625" style="890" customWidth="1"/>
    <col min="11009" max="11009" width="47.33203125" style="890" customWidth="1"/>
    <col min="11010" max="11010" width="47.1640625" style="890" customWidth="1"/>
    <col min="11011" max="11011" width="43.6640625" style="890" customWidth="1"/>
    <col min="11012" max="11013" width="47.33203125" style="890" customWidth="1"/>
    <col min="11014" max="11014" width="47.1640625" style="890" customWidth="1"/>
    <col min="11015" max="11015" width="43.6640625" style="890" customWidth="1"/>
    <col min="11016" max="11017" width="47.33203125" style="890" customWidth="1"/>
    <col min="11018" max="11018" width="47.1640625" style="890" customWidth="1"/>
    <col min="11019" max="11019" width="43.6640625" style="890" customWidth="1"/>
    <col min="11020" max="11021" width="45" style="890" customWidth="1"/>
    <col min="11022" max="11022" width="44.83203125" style="890" customWidth="1"/>
    <col min="11023" max="11023" width="45" style="890" customWidth="1"/>
    <col min="11024" max="11025" width="47.33203125" style="890" customWidth="1"/>
    <col min="11026" max="11026" width="47.1640625" style="890" customWidth="1"/>
    <col min="11027" max="11027" width="43.6640625" style="890" customWidth="1"/>
    <col min="11028" max="11028" width="193.33203125" style="890" customWidth="1"/>
    <col min="11029" max="11031" width="47.33203125" style="890" customWidth="1"/>
    <col min="11032" max="11032" width="43.6640625" style="890" customWidth="1"/>
    <col min="11033" max="11035" width="47.33203125" style="890" customWidth="1"/>
    <col min="11036" max="11036" width="44" style="890" customWidth="1"/>
    <col min="11037" max="11039" width="47.33203125" style="890" customWidth="1"/>
    <col min="11040" max="11040" width="43.6640625" style="890" customWidth="1"/>
    <col min="11041" max="11043" width="47.33203125" style="890" customWidth="1"/>
    <col min="11044" max="11044" width="43.6640625" style="890" customWidth="1"/>
    <col min="11045" max="11047" width="47.33203125" style="890" customWidth="1"/>
    <col min="11048" max="11048" width="43.6640625" style="890" customWidth="1"/>
    <col min="11049" max="11049" width="193.33203125" style="890" customWidth="1"/>
    <col min="11050" max="11065" width="56" style="890" customWidth="1"/>
    <col min="11066" max="11066" width="59" style="890" customWidth="1"/>
    <col min="11067" max="11067" width="46" style="890" customWidth="1"/>
    <col min="11068" max="11262" width="9.33203125" style="890"/>
    <col min="11263" max="11263" width="193.33203125" style="890" customWidth="1"/>
    <col min="11264" max="11264" width="47.1640625" style="890" customWidth="1"/>
    <col min="11265" max="11265" width="47.33203125" style="890" customWidth="1"/>
    <col min="11266" max="11266" width="47.1640625" style="890" customWidth="1"/>
    <col min="11267" max="11267" width="43.6640625" style="890" customWidth="1"/>
    <col min="11268" max="11269" width="47.33203125" style="890" customWidth="1"/>
    <col min="11270" max="11270" width="47.1640625" style="890" customWidth="1"/>
    <col min="11271" max="11271" width="43.6640625" style="890" customWidth="1"/>
    <col min="11272" max="11273" width="47.33203125" style="890" customWidth="1"/>
    <col min="11274" max="11274" width="47.1640625" style="890" customWidth="1"/>
    <col min="11275" max="11275" width="43.6640625" style="890" customWidth="1"/>
    <col min="11276" max="11277" width="45" style="890" customWidth="1"/>
    <col min="11278" max="11278" width="44.83203125" style="890" customWidth="1"/>
    <col min="11279" max="11279" width="45" style="890" customWidth="1"/>
    <col min="11280" max="11281" width="47.33203125" style="890" customWidth="1"/>
    <col min="11282" max="11282" width="47.1640625" style="890" customWidth="1"/>
    <col min="11283" max="11283" width="43.6640625" style="890" customWidth="1"/>
    <col min="11284" max="11284" width="193.33203125" style="890" customWidth="1"/>
    <col min="11285" max="11287" width="47.33203125" style="890" customWidth="1"/>
    <col min="11288" max="11288" width="43.6640625" style="890" customWidth="1"/>
    <col min="11289" max="11291" width="47.33203125" style="890" customWidth="1"/>
    <col min="11292" max="11292" width="44" style="890" customWidth="1"/>
    <col min="11293" max="11295" width="47.33203125" style="890" customWidth="1"/>
    <col min="11296" max="11296" width="43.6640625" style="890" customWidth="1"/>
    <col min="11297" max="11299" width="47.33203125" style="890" customWidth="1"/>
    <col min="11300" max="11300" width="43.6640625" style="890" customWidth="1"/>
    <col min="11301" max="11303" width="47.33203125" style="890" customWidth="1"/>
    <col min="11304" max="11304" width="43.6640625" style="890" customWidth="1"/>
    <col min="11305" max="11305" width="193.33203125" style="890" customWidth="1"/>
    <col min="11306" max="11321" width="56" style="890" customWidth="1"/>
    <col min="11322" max="11322" width="59" style="890" customWidth="1"/>
    <col min="11323" max="11323" width="46" style="890" customWidth="1"/>
    <col min="11324" max="11518" width="9.33203125" style="890"/>
    <col min="11519" max="11519" width="193.33203125" style="890" customWidth="1"/>
    <col min="11520" max="11520" width="47.1640625" style="890" customWidth="1"/>
    <col min="11521" max="11521" width="47.33203125" style="890" customWidth="1"/>
    <col min="11522" max="11522" width="47.1640625" style="890" customWidth="1"/>
    <col min="11523" max="11523" width="43.6640625" style="890" customWidth="1"/>
    <col min="11524" max="11525" width="47.33203125" style="890" customWidth="1"/>
    <col min="11526" max="11526" width="47.1640625" style="890" customWidth="1"/>
    <col min="11527" max="11527" width="43.6640625" style="890" customWidth="1"/>
    <col min="11528" max="11529" width="47.33203125" style="890" customWidth="1"/>
    <col min="11530" max="11530" width="47.1640625" style="890" customWidth="1"/>
    <col min="11531" max="11531" width="43.6640625" style="890" customWidth="1"/>
    <col min="11532" max="11533" width="45" style="890" customWidth="1"/>
    <col min="11534" max="11534" width="44.83203125" style="890" customWidth="1"/>
    <col min="11535" max="11535" width="45" style="890" customWidth="1"/>
    <col min="11536" max="11537" width="47.33203125" style="890" customWidth="1"/>
    <col min="11538" max="11538" width="47.1640625" style="890" customWidth="1"/>
    <col min="11539" max="11539" width="43.6640625" style="890" customWidth="1"/>
    <col min="11540" max="11540" width="193.33203125" style="890" customWidth="1"/>
    <col min="11541" max="11543" width="47.33203125" style="890" customWidth="1"/>
    <col min="11544" max="11544" width="43.6640625" style="890" customWidth="1"/>
    <col min="11545" max="11547" width="47.33203125" style="890" customWidth="1"/>
    <col min="11548" max="11548" width="44" style="890" customWidth="1"/>
    <col min="11549" max="11551" width="47.33203125" style="890" customWidth="1"/>
    <col min="11552" max="11552" width="43.6640625" style="890" customWidth="1"/>
    <col min="11553" max="11555" width="47.33203125" style="890" customWidth="1"/>
    <col min="11556" max="11556" width="43.6640625" style="890" customWidth="1"/>
    <col min="11557" max="11559" width="47.33203125" style="890" customWidth="1"/>
    <col min="11560" max="11560" width="43.6640625" style="890" customWidth="1"/>
    <col min="11561" max="11561" width="193.33203125" style="890" customWidth="1"/>
    <col min="11562" max="11577" width="56" style="890" customWidth="1"/>
    <col min="11578" max="11578" width="59" style="890" customWidth="1"/>
    <col min="11579" max="11579" width="46" style="890" customWidth="1"/>
    <col min="11580" max="11774" width="9.33203125" style="890"/>
    <col min="11775" max="11775" width="193.33203125" style="890" customWidth="1"/>
    <col min="11776" max="11776" width="47.1640625" style="890" customWidth="1"/>
    <col min="11777" max="11777" width="47.33203125" style="890" customWidth="1"/>
    <col min="11778" max="11778" width="47.1640625" style="890" customWidth="1"/>
    <col min="11779" max="11779" width="43.6640625" style="890" customWidth="1"/>
    <col min="11780" max="11781" width="47.33203125" style="890" customWidth="1"/>
    <col min="11782" max="11782" width="47.1640625" style="890" customWidth="1"/>
    <col min="11783" max="11783" width="43.6640625" style="890" customWidth="1"/>
    <col min="11784" max="11785" width="47.33203125" style="890" customWidth="1"/>
    <col min="11786" max="11786" width="47.1640625" style="890" customWidth="1"/>
    <col min="11787" max="11787" width="43.6640625" style="890" customWidth="1"/>
    <col min="11788" max="11789" width="45" style="890" customWidth="1"/>
    <col min="11790" max="11790" width="44.83203125" style="890" customWidth="1"/>
    <col min="11791" max="11791" width="45" style="890" customWidth="1"/>
    <col min="11792" max="11793" width="47.33203125" style="890" customWidth="1"/>
    <col min="11794" max="11794" width="47.1640625" style="890" customWidth="1"/>
    <col min="11795" max="11795" width="43.6640625" style="890" customWidth="1"/>
    <col min="11796" max="11796" width="193.33203125" style="890" customWidth="1"/>
    <col min="11797" max="11799" width="47.33203125" style="890" customWidth="1"/>
    <col min="11800" max="11800" width="43.6640625" style="890" customWidth="1"/>
    <col min="11801" max="11803" width="47.33203125" style="890" customWidth="1"/>
    <col min="11804" max="11804" width="44" style="890" customWidth="1"/>
    <col min="11805" max="11807" width="47.33203125" style="890" customWidth="1"/>
    <col min="11808" max="11808" width="43.6640625" style="890" customWidth="1"/>
    <col min="11809" max="11811" width="47.33203125" style="890" customWidth="1"/>
    <col min="11812" max="11812" width="43.6640625" style="890" customWidth="1"/>
    <col min="11813" max="11815" width="47.33203125" style="890" customWidth="1"/>
    <col min="11816" max="11816" width="43.6640625" style="890" customWidth="1"/>
    <col min="11817" max="11817" width="193.33203125" style="890" customWidth="1"/>
    <col min="11818" max="11833" width="56" style="890" customWidth="1"/>
    <col min="11834" max="11834" width="59" style="890" customWidth="1"/>
    <col min="11835" max="11835" width="46" style="890" customWidth="1"/>
    <col min="11836" max="12030" width="9.33203125" style="890"/>
    <col min="12031" max="12031" width="193.33203125" style="890" customWidth="1"/>
    <col min="12032" max="12032" width="47.1640625" style="890" customWidth="1"/>
    <col min="12033" max="12033" width="47.33203125" style="890" customWidth="1"/>
    <col min="12034" max="12034" width="47.1640625" style="890" customWidth="1"/>
    <col min="12035" max="12035" width="43.6640625" style="890" customWidth="1"/>
    <col min="12036" max="12037" width="47.33203125" style="890" customWidth="1"/>
    <col min="12038" max="12038" width="47.1640625" style="890" customWidth="1"/>
    <col min="12039" max="12039" width="43.6640625" style="890" customWidth="1"/>
    <col min="12040" max="12041" width="47.33203125" style="890" customWidth="1"/>
    <col min="12042" max="12042" width="47.1640625" style="890" customWidth="1"/>
    <col min="12043" max="12043" width="43.6640625" style="890" customWidth="1"/>
    <col min="12044" max="12045" width="45" style="890" customWidth="1"/>
    <col min="12046" max="12046" width="44.83203125" style="890" customWidth="1"/>
    <col min="12047" max="12047" width="45" style="890" customWidth="1"/>
    <col min="12048" max="12049" width="47.33203125" style="890" customWidth="1"/>
    <col min="12050" max="12050" width="47.1640625" style="890" customWidth="1"/>
    <col min="12051" max="12051" width="43.6640625" style="890" customWidth="1"/>
    <col min="12052" max="12052" width="193.33203125" style="890" customWidth="1"/>
    <col min="12053" max="12055" width="47.33203125" style="890" customWidth="1"/>
    <col min="12056" max="12056" width="43.6640625" style="890" customWidth="1"/>
    <col min="12057" max="12059" width="47.33203125" style="890" customWidth="1"/>
    <col min="12060" max="12060" width="44" style="890" customWidth="1"/>
    <col min="12061" max="12063" width="47.33203125" style="890" customWidth="1"/>
    <col min="12064" max="12064" width="43.6640625" style="890" customWidth="1"/>
    <col min="12065" max="12067" width="47.33203125" style="890" customWidth="1"/>
    <col min="12068" max="12068" width="43.6640625" style="890" customWidth="1"/>
    <col min="12069" max="12071" width="47.33203125" style="890" customWidth="1"/>
    <col min="12072" max="12072" width="43.6640625" style="890" customWidth="1"/>
    <col min="12073" max="12073" width="193.33203125" style="890" customWidth="1"/>
    <col min="12074" max="12089" width="56" style="890" customWidth="1"/>
    <col min="12090" max="12090" width="59" style="890" customWidth="1"/>
    <col min="12091" max="12091" width="46" style="890" customWidth="1"/>
    <col min="12092" max="12286" width="9.33203125" style="890"/>
    <col min="12287" max="12287" width="193.33203125" style="890" customWidth="1"/>
    <col min="12288" max="12288" width="47.1640625" style="890" customWidth="1"/>
    <col min="12289" max="12289" width="47.33203125" style="890" customWidth="1"/>
    <col min="12290" max="12290" width="47.1640625" style="890" customWidth="1"/>
    <col min="12291" max="12291" width="43.6640625" style="890" customWidth="1"/>
    <col min="12292" max="12293" width="47.33203125" style="890" customWidth="1"/>
    <col min="12294" max="12294" width="47.1640625" style="890" customWidth="1"/>
    <col min="12295" max="12295" width="43.6640625" style="890" customWidth="1"/>
    <col min="12296" max="12297" width="47.33203125" style="890" customWidth="1"/>
    <col min="12298" max="12298" width="47.1640625" style="890" customWidth="1"/>
    <col min="12299" max="12299" width="43.6640625" style="890" customWidth="1"/>
    <col min="12300" max="12301" width="45" style="890" customWidth="1"/>
    <col min="12302" max="12302" width="44.83203125" style="890" customWidth="1"/>
    <col min="12303" max="12303" width="45" style="890" customWidth="1"/>
    <col min="12304" max="12305" width="47.33203125" style="890" customWidth="1"/>
    <col min="12306" max="12306" width="47.1640625" style="890" customWidth="1"/>
    <col min="12307" max="12307" width="43.6640625" style="890" customWidth="1"/>
    <col min="12308" max="12308" width="193.33203125" style="890" customWidth="1"/>
    <col min="12309" max="12311" width="47.33203125" style="890" customWidth="1"/>
    <col min="12312" max="12312" width="43.6640625" style="890" customWidth="1"/>
    <col min="12313" max="12315" width="47.33203125" style="890" customWidth="1"/>
    <col min="12316" max="12316" width="44" style="890" customWidth="1"/>
    <col min="12317" max="12319" width="47.33203125" style="890" customWidth="1"/>
    <col min="12320" max="12320" width="43.6640625" style="890" customWidth="1"/>
    <col min="12321" max="12323" width="47.33203125" style="890" customWidth="1"/>
    <col min="12324" max="12324" width="43.6640625" style="890" customWidth="1"/>
    <col min="12325" max="12327" width="47.33203125" style="890" customWidth="1"/>
    <col min="12328" max="12328" width="43.6640625" style="890" customWidth="1"/>
    <col min="12329" max="12329" width="193.33203125" style="890" customWidth="1"/>
    <col min="12330" max="12345" width="56" style="890" customWidth="1"/>
    <col min="12346" max="12346" width="59" style="890" customWidth="1"/>
    <col min="12347" max="12347" width="46" style="890" customWidth="1"/>
    <col min="12348" max="12542" width="9.33203125" style="890"/>
    <col min="12543" max="12543" width="193.33203125" style="890" customWidth="1"/>
    <col min="12544" max="12544" width="47.1640625" style="890" customWidth="1"/>
    <col min="12545" max="12545" width="47.33203125" style="890" customWidth="1"/>
    <col min="12546" max="12546" width="47.1640625" style="890" customWidth="1"/>
    <col min="12547" max="12547" width="43.6640625" style="890" customWidth="1"/>
    <col min="12548" max="12549" width="47.33203125" style="890" customWidth="1"/>
    <col min="12550" max="12550" width="47.1640625" style="890" customWidth="1"/>
    <col min="12551" max="12551" width="43.6640625" style="890" customWidth="1"/>
    <col min="12552" max="12553" width="47.33203125" style="890" customWidth="1"/>
    <col min="12554" max="12554" width="47.1640625" style="890" customWidth="1"/>
    <col min="12555" max="12555" width="43.6640625" style="890" customWidth="1"/>
    <col min="12556" max="12557" width="45" style="890" customWidth="1"/>
    <col min="12558" max="12558" width="44.83203125" style="890" customWidth="1"/>
    <col min="12559" max="12559" width="45" style="890" customWidth="1"/>
    <col min="12560" max="12561" width="47.33203125" style="890" customWidth="1"/>
    <col min="12562" max="12562" width="47.1640625" style="890" customWidth="1"/>
    <col min="12563" max="12563" width="43.6640625" style="890" customWidth="1"/>
    <col min="12564" max="12564" width="193.33203125" style="890" customWidth="1"/>
    <col min="12565" max="12567" width="47.33203125" style="890" customWidth="1"/>
    <col min="12568" max="12568" width="43.6640625" style="890" customWidth="1"/>
    <col min="12569" max="12571" width="47.33203125" style="890" customWidth="1"/>
    <col min="12572" max="12572" width="44" style="890" customWidth="1"/>
    <col min="12573" max="12575" width="47.33203125" style="890" customWidth="1"/>
    <col min="12576" max="12576" width="43.6640625" style="890" customWidth="1"/>
    <col min="12577" max="12579" width="47.33203125" style="890" customWidth="1"/>
    <col min="12580" max="12580" width="43.6640625" style="890" customWidth="1"/>
    <col min="12581" max="12583" width="47.33203125" style="890" customWidth="1"/>
    <col min="12584" max="12584" width="43.6640625" style="890" customWidth="1"/>
    <col min="12585" max="12585" width="193.33203125" style="890" customWidth="1"/>
    <col min="12586" max="12601" width="56" style="890" customWidth="1"/>
    <col min="12602" max="12602" width="59" style="890" customWidth="1"/>
    <col min="12603" max="12603" width="46" style="890" customWidth="1"/>
    <col min="12604" max="12798" width="9.33203125" style="890"/>
    <col min="12799" max="12799" width="193.33203125" style="890" customWidth="1"/>
    <col min="12800" max="12800" width="47.1640625" style="890" customWidth="1"/>
    <col min="12801" max="12801" width="47.33203125" style="890" customWidth="1"/>
    <col min="12802" max="12802" width="47.1640625" style="890" customWidth="1"/>
    <col min="12803" max="12803" width="43.6640625" style="890" customWidth="1"/>
    <col min="12804" max="12805" width="47.33203125" style="890" customWidth="1"/>
    <col min="12806" max="12806" width="47.1640625" style="890" customWidth="1"/>
    <col min="12807" max="12807" width="43.6640625" style="890" customWidth="1"/>
    <col min="12808" max="12809" width="47.33203125" style="890" customWidth="1"/>
    <col min="12810" max="12810" width="47.1640625" style="890" customWidth="1"/>
    <col min="12811" max="12811" width="43.6640625" style="890" customWidth="1"/>
    <col min="12812" max="12813" width="45" style="890" customWidth="1"/>
    <col min="12814" max="12814" width="44.83203125" style="890" customWidth="1"/>
    <col min="12815" max="12815" width="45" style="890" customWidth="1"/>
    <col min="12816" max="12817" width="47.33203125" style="890" customWidth="1"/>
    <col min="12818" max="12818" width="47.1640625" style="890" customWidth="1"/>
    <col min="12819" max="12819" width="43.6640625" style="890" customWidth="1"/>
    <col min="12820" max="12820" width="193.33203125" style="890" customWidth="1"/>
    <col min="12821" max="12823" width="47.33203125" style="890" customWidth="1"/>
    <col min="12824" max="12824" width="43.6640625" style="890" customWidth="1"/>
    <col min="12825" max="12827" width="47.33203125" style="890" customWidth="1"/>
    <col min="12828" max="12828" width="44" style="890" customWidth="1"/>
    <col min="12829" max="12831" width="47.33203125" style="890" customWidth="1"/>
    <col min="12832" max="12832" width="43.6640625" style="890" customWidth="1"/>
    <col min="12833" max="12835" width="47.33203125" style="890" customWidth="1"/>
    <col min="12836" max="12836" width="43.6640625" style="890" customWidth="1"/>
    <col min="12837" max="12839" width="47.33203125" style="890" customWidth="1"/>
    <col min="12840" max="12840" width="43.6640625" style="890" customWidth="1"/>
    <col min="12841" max="12841" width="193.33203125" style="890" customWidth="1"/>
    <col min="12842" max="12857" width="56" style="890" customWidth="1"/>
    <col min="12858" max="12858" width="59" style="890" customWidth="1"/>
    <col min="12859" max="12859" width="46" style="890" customWidth="1"/>
    <col min="12860" max="13054" width="9.33203125" style="890"/>
    <col min="13055" max="13055" width="193.33203125" style="890" customWidth="1"/>
    <col min="13056" max="13056" width="47.1640625" style="890" customWidth="1"/>
    <col min="13057" max="13057" width="47.33203125" style="890" customWidth="1"/>
    <col min="13058" max="13058" width="47.1640625" style="890" customWidth="1"/>
    <col min="13059" max="13059" width="43.6640625" style="890" customWidth="1"/>
    <col min="13060" max="13061" width="47.33203125" style="890" customWidth="1"/>
    <col min="13062" max="13062" width="47.1640625" style="890" customWidth="1"/>
    <col min="13063" max="13063" width="43.6640625" style="890" customWidth="1"/>
    <col min="13064" max="13065" width="47.33203125" style="890" customWidth="1"/>
    <col min="13066" max="13066" width="47.1640625" style="890" customWidth="1"/>
    <col min="13067" max="13067" width="43.6640625" style="890" customWidth="1"/>
    <col min="13068" max="13069" width="45" style="890" customWidth="1"/>
    <col min="13070" max="13070" width="44.83203125" style="890" customWidth="1"/>
    <col min="13071" max="13071" width="45" style="890" customWidth="1"/>
    <col min="13072" max="13073" width="47.33203125" style="890" customWidth="1"/>
    <col min="13074" max="13074" width="47.1640625" style="890" customWidth="1"/>
    <col min="13075" max="13075" width="43.6640625" style="890" customWidth="1"/>
    <col min="13076" max="13076" width="193.33203125" style="890" customWidth="1"/>
    <col min="13077" max="13079" width="47.33203125" style="890" customWidth="1"/>
    <col min="13080" max="13080" width="43.6640625" style="890" customWidth="1"/>
    <col min="13081" max="13083" width="47.33203125" style="890" customWidth="1"/>
    <col min="13084" max="13084" width="44" style="890" customWidth="1"/>
    <col min="13085" max="13087" width="47.33203125" style="890" customWidth="1"/>
    <col min="13088" max="13088" width="43.6640625" style="890" customWidth="1"/>
    <col min="13089" max="13091" width="47.33203125" style="890" customWidth="1"/>
    <col min="13092" max="13092" width="43.6640625" style="890" customWidth="1"/>
    <col min="13093" max="13095" width="47.33203125" style="890" customWidth="1"/>
    <col min="13096" max="13096" width="43.6640625" style="890" customWidth="1"/>
    <col min="13097" max="13097" width="193.33203125" style="890" customWidth="1"/>
    <col min="13098" max="13113" width="56" style="890" customWidth="1"/>
    <col min="13114" max="13114" width="59" style="890" customWidth="1"/>
    <col min="13115" max="13115" width="46" style="890" customWidth="1"/>
    <col min="13116" max="13310" width="9.33203125" style="890"/>
    <col min="13311" max="13311" width="193.33203125" style="890" customWidth="1"/>
    <col min="13312" max="13312" width="47.1640625" style="890" customWidth="1"/>
    <col min="13313" max="13313" width="47.33203125" style="890" customWidth="1"/>
    <col min="13314" max="13314" width="47.1640625" style="890" customWidth="1"/>
    <col min="13315" max="13315" width="43.6640625" style="890" customWidth="1"/>
    <col min="13316" max="13317" width="47.33203125" style="890" customWidth="1"/>
    <col min="13318" max="13318" width="47.1640625" style="890" customWidth="1"/>
    <col min="13319" max="13319" width="43.6640625" style="890" customWidth="1"/>
    <col min="13320" max="13321" width="47.33203125" style="890" customWidth="1"/>
    <col min="13322" max="13322" width="47.1640625" style="890" customWidth="1"/>
    <col min="13323" max="13323" width="43.6640625" style="890" customWidth="1"/>
    <col min="13324" max="13325" width="45" style="890" customWidth="1"/>
    <col min="13326" max="13326" width="44.83203125" style="890" customWidth="1"/>
    <col min="13327" max="13327" width="45" style="890" customWidth="1"/>
    <col min="13328" max="13329" width="47.33203125" style="890" customWidth="1"/>
    <col min="13330" max="13330" width="47.1640625" style="890" customWidth="1"/>
    <col min="13331" max="13331" width="43.6640625" style="890" customWidth="1"/>
    <col min="13332" max="13332" width="193.33203125" style="890" customWidth="1"/>
    <col min="13333" max="13335" width="47.33203125" style="890" customWidth="1"/>
    <col min="13336" max="13336" width="43.6640625" style="890" customWidth="1"/>
    <col min="13337" max="13339" width="47.33203125" style="890" customWidth="1"/>
    <col min="13340" max="13340" width="44" style="890" customWidth="1"/>
    <col min="13341" max="13343" width="47.33203125" style="890" customWidth="1"/>
    <col min="13344" max="13344" width="43.6640625" style="890" customWidth="1"/>
    <col min="13345" max="13347" width="47.33203125" style="890" customWidth="1"/>
    <col min="13348" max="13348" width="43.6640625" style="890" customWidth="1"/>
    <col min="13349" max="13351" width="47.33203125" style="890" customWidth="1"/>
    <col min="13352" max="13352" width="43.6640625" style="890" customWidth="1"/>
    <col min="13353" max="13353" width="193.33203125" style="890" customWidth="1"/>
    <col min="13354" max="13369" width="56" style="890" customWidth="1"/>
    <col min="13370" max="13370" width="59" style="890" customWidth="1"/>
    <col min="13371" max="13371" width="46" style="890" customWidth="1"/>
    <col min="13372" max="13566" width="9.33203125" style="890"/>
    <col min="13567" max="13567" width="193.33203125" style="890" customWidth="1"/>
    <col min="13568" max="13568" width="47.1640625" style="890" customWidth="1"/>
    <col min="13569" max="13569" width="47.33203125" style="890" customWidth="1"/>
    <col min="13570" max="13570" width="47.1640625" style="890" customWidth="1"/>
    <col min="13571" max="13571" width="43.6640625" style="890" customWidth="1"/>
    <col min="13572" max="13573" width="47.33203125" style="890" customWidth="1"/>
    <col min="13574" max="13574" width="47.1640625" style="890" customWidth="1"/>
    <col min="13575" max="13575" width="43.6640625" style="890" customWidth="1"/>
    <col min="13576" max="13577" width="47.33203125" style="890" customWidth="1"/>
    <col min="13578" max="13578" width="47.1640625" style="890" customWidth="1"/>
    <col min="13579" max="13579" width="43.6640625" style="890" customWidth="1"/>
    <col min="13580" max="13581" width="45" style="890" customWidth="1"/>
    <col min="13582" max="13582" width="44.83203125" style="890" customWidth="1"/>
    <col min="13583" max="13583" width="45" style="890" customWidth="1"/>
    <col min="13584" max="13585" width="47.33203125" style="890" customWidth="1"/>
    <col min="13586" max="13586" width="47.1640625" style="890" customWidth="1"/>
    <col min="13587" max="13587" width="43.6640625" style="890" customWidth="1"/>
    <col min="13588" max="13588" width="193.33203125" style="890" customWidth="1"/>
    <col min="13589" max="13591" width="47.33203125" style="890" customWidth="1"/>
    <col min="13592" max="13592" width="43.6640625" style="890" customWidth="1"/>
    <col min="13593" max="13595" width="47.33203125" style="890" customWidth="1"/>
    <col min="13596" max="13596" width="44" style="890" customWidth="1"/>
    <col min="13597" max="13599" width="47.33203125" style="890" customWidth="1"/>
    <col min="13600" max="13600" width="43.6640625" style="890" customWidth="1"/>
    <col min="13601" max="13603" width="47.33203125" style="890" customWidth="1"/>
    <col min="13604" max="13604" width="43.6640625" style="890" customWidth="1"/>
    <col min="13605" max="13607" width="47.33203125" style="890" customWidth="1"/>
    <col min="13608" max="13608" width="43.6640625" style="890" customWidth="1"/>
    <col min="13609" max="13609" width="193.33203125" style="890" customWidth="1"/>
    <col min="13610" max="13625" width="56" style="890" customWidth="1"/>
    <col min="13626" max="13626" width="59" style="890" customWidth="1"/>
    <col min="13627" max="13627" width="46" style="890" customWidth="1"/>
    <col min="13628" max="13822" width="9.33203125" style="890"/>
    <col min="13823" max="13823" width="193.33203125" style="890" customWidth="1"/>
    <col min="13824" max="13824" width="47.1640625" style="890" customWidth="1"/>
    <col min="13825" max="13825" width="47.33203125" style="890" customWidth="1"/>
    <col min="13826" max="13826" width="47.1640625" style="890" customWidth="1"/>
    <col min="13827" max="13827" width="43.6640625" style="890" customWidth="1"/>
    <col min="13828" max="13829" width="47.33203125" style="890" customWidth="1"/>
    <col min="13830" max="13830" width="47.1640625" style="890" customWidth="1"/>
    <col min="13831" max="13831" width="43.6640625" style="890" customWidth="1"/>
    <col min="13832" max="13833" width="47.33203125" style="890" customWidth="1"/>
    <col min="13834" max="13834" width="47.1640625" style="890" customWidth="1"/>
    <col min="13835" max="13835" width="43.6640625" style="890" customWidth="1"/>
    <col min="13836" max="13837" width="45" style="890" customWidth="1"/>
    <col min="13838" max="13838" width="44.83203125" style="890" customWidth="1"/>
    <col min="13839" max="13839" width="45" style="890" customWidth="1"/>
    <col min="13840" max="13841" width="47.33203125" style="890" customWidth="1"/>
    <col min="13842" max="13842" width="47.1640625" style="890" customWidth="1"/>
    <col min="13843" max="13843" width="43.6640625" style="890" customWidth="1"/>
    <col min="13844" max="13844" width="193.33203125" style="890" customWidth="1"/>
    <col min="13845" max="13847" width="47.33203125" style="890" customWidth="1"/>
    <col min="13848" max="13848" width="43.6640625" style="890" customWidth="1"/>
    <col min="13849" max="13851" width="47.33203125" style="890" customWidth="1"/>
    <col min="13852" max="13852" width="44" style="890" customWidth="1"/>
    <col min="13853" max="13855" width="47.33203125" style="890" customWidth="1"/>
    <col min="13856" max="13856" width="43.6640625" style="890" customWidth="1"/>
    <col min="13857" max="13859" width="47.33203125" style="890" customWidth="1"/>
    <col min="13860" max="13860" width="43.6640625" style="890" customWidth="1"/>
    <col min="13861" max="13863" width="47.33203125" style="890" customWidth="1"/>
    <col min="13864" max="13864" width="43.6640625" style="890" customWidth="1"/>
    <col min="13865" max="13865" width="193.33203125" style="890" customWidth="1"/>
    <col min="13866" max="13881" width="56" style="890" customWidth="1"/>
    <col min="13882" max="13882" width="59" style="890" customWidth="1"/>
    <col min="13883" max="13883" width="46" style="890" customWidth="1"/>
    <col min="13884" max="14078" width="9.33203125" style="890"/>
    <col min="14079" max="14079" width="193.33203125" style="890" customWidth="1"/>
    <col min="14080" max="14080" width="47.1640625" style="890" customWidth="1"/>
    <col min="14081" max="14081" width="47.33203125" style="890" customWidth="1"/>
    <col min="14082" max="14082" width="47.1640625" style="890" customWidth="1"/>
    <col min="14083" max="14083" width="43.6640625" style="890" customWidth="1"/>
    <col min="14084" max="14085" width="47.33203125" style="890" customWidth="1"/>
    <col min="14086" max="14086" width="47.1640625" style="890" customWidth="1"/>
    <col min="14087" max="14087" width="43.6640625" style="890" customWidth="1"/>
    <col min="14088" max="14089" width="47.33203125" style="890" customWidth="1"/>
    <col min="14090" max="14090" width="47.1640625" style="890" customWidth="1"/>
    <col min="14091" max="14091" width="43.6640625" style="890" customWidth="1"/>
    <col min="14092" max="14093" width="45" style="890" customWidth="1"/>
    <col min="14094" max="14094" width="44.83203125" style="890" customWidth="1"/>
    <col min="14095" max="14095" width="45" style="890" customWidth="1"/>
    <col min="14096" max="14097" width="47.33203125" style="890" customWidth="1"/>
    <col min="14098" max="14098" width="47.1640625" style="890" customWidth="1"/>
    <col min="14099" max="14099" width="43.6640625" style="890" customWidth="1"/>
    <col min="14100" max="14100" width="193.33203125" style="890" customWidth="1"/>
    <col min="14101" max="14103" width="47.33203125" style="890" customWidth="1"/>
    <col min="14104" max="14104" width="43.6640625" style="890" customWidth="1"/>
    <col min="14105" max="14107" width="47.33203125" style="890" customWidth="1"/>
    <col min="14108" max="14108" width="44" style="890" customWidth="1"/>
    <col min="14109" max="14111" width="47.33203125" style="890" customWidth="1"/>
    <col min="14112" max="14112" width="43.6640625" style="890" customWidth="1"/>
    <col min="14113" max="14115" width="47.33203125" style="890" customWidth="1"/>
    <col min="14116" max="14116" width="43.6640625" style="890" customWidth="1"/>
    <col min="14117" max="14119" width="47.33203125" style="890" customWidth="1"/>
    <col min="14120" max="14120" width="43.6640625" style="890" customWidth="1"/>
    <col min="14121" max="14121" width="193.33203125" style="890" customWidth="1"/>
    <col min="14122" max="14137" width="56" style="890" customWidth="1"/>
    <col min="14138" max="14138" width="59" style="890" customWidth="1"/>
    <col min="14139" max="14139" width="46" style="890" customWidth="1"/>
    <col min="14140" max="14334" width="9.33203125" style="890"/>
    <col min="14335" max="14335" width="193.33203125" style="890" customWidth="1"/>
    <col min="14336" max="14336" width="47.1640625" style="890" customWidth="1"/>
    <col min="14337" max="14337" width="47.33203125" style="890" customWidth="1"/>
    <col min="14338" max="14338" width="47.1640625" style="890" customWidth="1"/>
    <col min="14339" max="14339" width="43.6640625" style="890" customWidth="1"/>
    <col min="14340" max="14341" width="47.33203125" style="890" customWidth="1"/>
    <col min="14342" max="14342" width="47.1640625" style="890" customWidth="1"/>
    <col min="14343" max="14343" width="43.6640625" style="890" customWidth="1"/>
    <col min="14344" max="14345" width="47.33203125" style="890" customWidth="1"/>
    <col min="14346" max="14346" width="47.1640625" style="890" customWidth="1"/>
    <col min="14347" max="14347" width="43.6640625" style="890" customWidth="1"/>
    <col min="14348" max="14349" width="45" style="890" customWidth="1"/>
    <col min="14350" max="14350" width="44.83203125" style="890" customWidth="1"/>
    <col min="14351" max="14351" width="45" style="890" customWidth="1"/>
    <col min="14352" max="14353" width="47.33203125" style="890" customWidth="1"/>
    <col min="14354" max="14354" width="47.1640625" style="890" customWidth="1"/>
    <col min="14355" max="14355" width="43.6640625" style="890" customWidth="1"/>
    <col min="14356" max="14356" width="193.33203125" style="890" customWidth="1"/>
    <col min="14357" max="14359" width="47.33203125" style="890" customWidth="1"/>
    <col min="14360" max="14360" width="43.6640625" style="890" customWidth="1"/>
    <col min="14361" max="14363" width="47.33203125" style="890" customWidth="1"/>
    <col min="14364" max="14364" width="44" style="890" customWidth="1"/>
    <col min="14365" max="14367" width="47.33203125" style="890" customWidth="1"/>
    <col min="14368" max="14368" width="43.6640625" style="890" customWidth="1"/>
    <col min="14369" max="14371" width="47.33203125" style="890" customWidth="1"/>
    <col min="14372" max="14372" width="43.6640625" style="890" customWidth="1"/>
    <col min="14373" max="14375" width="47.33203125" style="890" customWidth="1"/>
    <col min="14376" max="14376" width="43.6640625" style="890" customWidth="1"/>
    <col min="14377" max="14377" width="193.33203125" style="890" customWidth="1"/>
    <col min="14378" max="14393" width="56" style="890" customWidth="1"/>
    <col min="14394" max="14394" width="59" style="890" customWidth="1"/>
    <col min="14395" max="14395" width="46" style="890" customWidth="1"/>
    <col min="14396" max="14590" width="9.33203125" style="890"/>
    <col min="14591" max="14591" width="193.33203125" style="890" customWidth="1"/>
    <col min="14592" max="14592" width="47.1640625" style="890" customWidth="1"/>
    <col min="14593" max="14593" width="47.33203125" style="890" customWidth="1"/>
    <col min="14594" max="14594" width="47.1640625" style="890" customWidth="1"/>
    <col min="14595" max="14595" width="43.6640625" style="890" customWidth="1"/>
    <col min="14596" max="14597" width="47.33203125" style="890" customWidth="1"/>
    <col min="14598" max="14598" width="47.1640625" style="890" customWidth="1"/>
    <col min="14599" max="14599" width="43.6640625" style="890" customWidth="1"/>
    <col min="14600" max="14601" width="47.33203125" style="890" customWidth="1"/>
    <col min="14602" max="14602" width="47.1640625" style="890" customWidth="1"/>
    <col min="14603" max="14603" width="43.6640625" style="890" customWidth="1"/>
    <col min="14604" max="14605" width="45" style="890" customWidth="1"/>
    <col min="14606" max="14606" width="44.83203125" style="890" customWidth="1"/>
    <col min="14607" max="14607" width="45" style="890" customWidth="1"/>
    <col min="14608" max="14609" width="47.33203125" style="890" customWidth="1"/>
    <col min="14610" max="14610" width="47.1640625" style="890" customWidth="1"/>
    <col min="14611" max="14611" width="43.6640625" style="890" customWidth="1"/>
    <col min="14612" max="14612" width="193.33203125" style="890" customWidth="1"/>
    <col min="14613" max="14615" width="47.33203125" style="890" customWidth="1"/>
    <col min="14616" max="14616" width="43.6640625" style="890" customWidth="1"/>
    <col min="14617" max="14619" width="47.33203125" style="890" customWidth="1"/>
    <col min="14620" max="14620" width="44" style="890" customWidth="1"/>
    <col min="14621" max="14623" width="47.33203125" style="890" customWidth="1"/>
    <col min="14624" max="14624" width="43.6640625" style="890" customWidth="1"/>
    <col min="14625" max="14627" width="47.33203125" style="890" customWidth="1"/>
    <col min="14628" max="14628" width="43.6640625" style="890" customWidth="1"/>
    <col min="14629" max="14631" width="47.33203125" style="890" customWidth="1"/>
    <col min="14632" max="14632" width="43.6640625" style="890" customWidth="1"/>
    <col min="14633" max="14633" width="193.33203125" style="890" customWidth="1"/>
    <col min="14634" max="14649" width="56" style="890" customWidth="1"/>
    <col min="14650" max="14650" width="59" style="890" customWidth="1"/>
    <col min="14651" max="14651" width="46" style="890" customWidth="1"/>
    <col min="14652" max="14846" width="9.33203125" style="890"/>
    <col min="14847" max="14847" width="193.33203125" style="890" customWidth="1"/>
    <col min="14848" max="14848" width="47.1640625" style="890" customWidth="1"/>
    <col min="14849" max="14849" width="47.33203125" style="890" customWidth="1"/>
    <col min="14850" max="14850" width="47.1640625" style="890" customWidth="1"/>
    <col min="14851" max="14851" width="43.6640625" style="890" customWidth="1"/>
    <col min="14852" max="14853" width="47.33203125" style="890" customWidth="1"/>
    <col min="14854" max="14854" width="47.1640625" style="890" customWidth="1"/>
    <col min="14855" max="14855" width="43.6640625" style="890" customWidth="1"/>
    <col min="14856" max="14857" width="47.33203125" style="890" customWidth="1"/>
    <col min="14858" max="14858" width="47.1640625" style="890" customWidth="1"/>
    <col min="14859" max="14859" width="43.6640625" style="890" customWidth="1"/>
    <col min="14860" max="14861" width="45" style="890" customWidth="1"/>
    <col min="14862" max="14862" width="44.83203125" style="890" customWidth="1"/>
    <col min="14863" max="14863" width="45" style="890" customWidth="1"/>
    <col min="14864" max="14865" width="47.33203125" style="890" customWidth="1"/>
    <col min="14866" max="14866" width="47.1640625" style="890" customWidth="1"/>
    <col min="14867" max="14867" width="43.6640625" style="890" customWidth="1"/>
    <col min="14868" max="14868" width="193.33203125" style="890" customWidth="1"/>
    <col min="14869" max="14871" width="47.33203125" style="890" customWidth="1"/>
    <col min="14872" max="14872" width="43.6640625" style="890" customWidth="1"/>
    <col min="14873" max="14875" width="47.33203125" style="890" customWidth="1"/>
    <col min="14876" max="14876" width="44" style="890" customWidth="1"/>
    <col min="14877" max="14879" width="47.33203125" style="890" customWidth="1"/>
    <col min="14880" max="14880" width="43.6640625" style="890" customWidth="1"/>
    <col min="14881" max="14883" width="47.33203125" style="890" customWidth="1"/>
    <col min="14884" max="14884" width="43.6640625" style="890" customWidth="1"/>
    <col min="14885" max="14887" width="47.33203125" style="890" customWidth="1"/>
    <col min="14888" max="14888" width="43.6640625" style="890" customWidth="1"/>
    <col min="14889" max="14889" width="193.33203125" style="890" customWidth="1"/>
    <col min="14890" max="14905" width="56" style="890" customWidth="1"/>
    <col min="14906" max="14906" width="59" style="890" customWidth="1"/>
    <col min="14907" max="14907" width="46" style="890" customWidth="1"/>
    <col min="14908" max="15102" width="9.33203125" style="890"/>
    <col min="15103" max="15103" width="193.33203125" style="890" customWidth="1"/>
    <col min="15104" max="15104" width="47.1640625" style="890" customWidth="1"/>
    <col min="15105" max="15105" width="47.33203125" style="890" customWidth="1"/>
    <col min="15106" max="15106" width="47.1640625" style="890" customWidth="1"/>
    <col min="15107" max="15107" width="43.6640625" style="890" customWidth="1"/>
    <col min="15108" max="15109" width="47.33203125" style="890" customWidth="1"/>
    <col min="15110" max="15110" width="47.1640625" style="890" customWidth="1"/>
    <col min="15111" max="15111" width="43.6640625" style="890" customWidth="1"/>
    <col min="15112" max="15113" width="47.33203125" style="890" customWidth="1"/>
    <col min="15114" max="15114" width="47.1640625" style="890" customWidth="1"/>
    <col min="15115" max="15115" width="43.6640625" style="890" customWidth="1"/>
    <col min="15116" max="15117" width="45" style="890" customWidth="1"/>
    <col min="15118" max="15118" width="44.83203125" style="890" customWidth="1"/>
    <col min="15119" max="15119" width="45" style="890" customWidth="1"/>
    <col min="15120" max="15121" width="47.33203125" style="890" customWidth="1"/>
    <col min="15122" max="15122" width="47.1640625" style="890" customWidth="1"/>
    <col min="15123" max="15123" width="43.6640625" style="890" customWidth="1"/>
    <col min="15124" max="15124" width="193.33203125" style="890" customWidth="1"/>
    <col min="15125" max="15127" width="47.33203125" style="890" customWidth="1"/>
    <col min="15128" max="15128" width="43.6640625" style="890" customWidth="1"/>
    <col min="15129" max="15131" width="47.33203125" style="890" customWidth="1"/>
    <col min="15132" max="15132" width="44" style="890" customWidth="1"/>
    <col min="15133" max="15135" width="47.33203125" style="890" customWidth="1"/>
    <col min="15136" max="15136" width="43.6640625" style="890" customWidth="1"/>
    <col min="15137" max="15139" width="47.33203125" style="890" customWidth="1"/>
    <col min="15140" max="15140" width="43.6640625" style="890" customWidth="1"/>
    <col min="15141" max="15143" width="47.33203125" style="890" customWidth="1"/>
    <col min="15144" max="15144" width="43.6640625" style="890" customWidth="1"/>
    <col min="15145" max="15145" width="193.33203125" style="890" customWidth="1"/>
    <col min="15146" max="15161" width="56" style="890" customWidth="1"/>
    <col min="15162" max="15162" width="59" style="890" customWidth="1"/>
    <col min="15163" max="15163" width="46" style="890" customWidth="1"/>
    <col min="15164" max="15358" width="9.33203125" style="890"/>
    <col min="15359" max="15359" width="193.33203125" style="890" customWidth="1"/>
    <col min="15360" max="15360" width="47.1640625" style="890" customWidth="1"/>
    <col min="15361" max="15361" width="47.33203125" style="890" customWidth="1"/>
    <col min="15362" max="15362" width="47.1640625" style="890" customWidth="1"/>
    <col min="15363" max="15363" width="43.6640625" style="890" customWidth="1"/>
    <col min="15364" max="15365" width="47.33203125" style="890" customWidth="1"/>
    <col min="15366" max="15366" width="47.1640625" style="890" customWidth="1"/>
    <col min="15367" max="15367" width="43.6640625" style="890" customWidth="1"/>
    <col min="15368" max="15369" width="47.33203125" style="890" customWidth="1"/>
    <col min="15370" max="15370" width="47.1640625" style="890" customWidth="1"/>
    <col min="15371" max="15371" width="43.6640625" style="890" customWidth="1"/>
    <col min="15372" max="15373" width="45" style="890" customWidth="1"/>
    <col min="15374" max="15374" width="44.83203125" style="890" customWidth="1"/>
    <col min="15375" max="15375" width="45" style="890" customWidth="1"/>
    <col min="15376" max="15377" width="47.33203125" style="890" customWidth="1"/>
    <col min="15378" max="15378" width="47.1640625" style="890" customWidth="1"/>
    <col min="15379" max="15379" width="43.6640625" style="890" customWidth="1"/>
    <col min="15380" max="15380" width="193.33203125" style="890" customWidth="1"/>
    <col min="15381" max="15383" width="47.33203125" style="890" customWidth="1"/>
    <col min="15384" max="15384" width="43.6640625" style="890" customWidth="1"/>
    <col min="15385" max="15387" width="47.33203125" style="890" customWidth="1"/>
    <col min="15388" max="15388" width="44" style="890" customWidth="1"/>
    <col min="15389" max="15391" width="47.33203125" style="890" customWidth="1"/>
    <col min="15392" max="15392" width="43.6640625" style="890" customWidth="1"/>
    <col min="15393" max="15395" width="47.33203125" style="890" customWidth="1"/>
    <col min="15396" max="15396" width="43.6640625" style="890" customWidth="1"/>
    <col min="15397" max="15399" width="47.33203125" style="890" customWidth="1"/>
    <col min="15400" max="15400" width="43.6640625" style="890" customWidth="1"/>
    <col min="15401" max="15401" width="193.33203125" style="890" customWidth="1"/>
    <col min="15402" max="15417" width="56" style="890" customWidth="1"/>
    <col min="15418" max="15418" width="59" style="890" customWidth="1"/>
    <col min="15419" max="15419" width="46" style="890" customWidth="1"/>
    <col min="15420" max="15614" width="9.33203125" style="890"/>
    <col min="15615" max="15615" width="193.33203125" style="890" customWidth="1"/>
    <col min="15616" max="15616" width="47.1640625" style="890" customWidth="1"/>
    <col min="15617" max="15617" width="47.33203125" style="890" customWidth="1"/>
    <col min="15618" max="15618" width="47.1640625" style="890" customWidth="1"/>
    <col min="15619" max="15619" width="43.6640625" style="890" customWidth="1"/>
    <col min="15620" max="15621" width="47.33203125" style="890" customWidth="1"/>
    <col min="15622" max="15622" width="47.1640625" style="890" customWidth="1"/>
    <col min="15623" max="15623" width="43.6640625" style="890" customWidth="1"/>
    <col min="15624" max="15625" width="47.33203125" style="890" customWidth="1"/>
    <col min="15626" max="15626" width="47.1640625" style="890" customWidth="1"/>
    <col min="15627" max="15627" width="43.6640625" style="890" customWidth="1"/>
    <col min="15628" max="15629" width="45" style="890" customWidth="1"/>
    <col min="15630" max="15630" width="44.83203125" style="890" customWidth="1"/>
    <col min="15631" max="15631" width="45" style="890" customWidth="1"/>
    <col min="15632" max="15633" width="47.33203125" style="890" customWidth="1"/>
    <col min="15634" max="15634" width="47.1640625" style="890" customWidth="1"/>
    <col min="15635" max="15635" width="43.6640625" style="890" customWidth="1"/>
    <col min="15636" max="15636" width="193.33203125" style="890" customWidth="1"/>
    <col min="15637" max="15639" width="47.33203125" style="890" customWidth="1"/>
    <col min="15640" max="15640" width="43.6640625" style="890" customWidth="1"/>
    <col min="15641" max="15643" width="47.33203125" style="890" customWidth="1"/>
    <col min="15644" max="15644" width="44" style="890" customWidth="1"/>
    <col min="15645" max="15647" width="47.33203125" style="890" customWidth="1"/>
    <col min="15648" max="15648" width="43.6640625" style="890" customWidth="1"/>
    <col min="15649" max="15651" width="47.33203125" style="890" customWidth="1"/>
    <col min="15652" max="15652" width="43.6640625" style="890" customWidth="1"/>
    <col min="15653" max="15655" width="47.33203125" style="890" customWidth="1"/>
    <col min="15656" max="15656" width="43.6640625" style="890" customWidth="1"/>
    <col min="15657" max="15657" width="193.33203125" style="890" customWidth="1"/>
    <col min="15658" max="15673" width="56" style="890" customWidth="1"/>
    <col min="15674" max="15674" width="59" style="890" customWidth="1"/>
    <col min="15675" max="15675" width="46" style="890" customWidth="1"/>
    <col min="15676" max="15870" width="9.33203125" style="890"/>
    <col min="15871" max="15871" width="193.33203125" style="890" customWidth="1"/>
    <col min="15872" max="15872" width="47.1640625" style="890" customWidth="1"/>
    <col min="15873" max="15873" width="47.33203125" style="890" customWidth="1"/>
    <col min="15874" max="15874" width="47.1640625" style="890" customWidth="1"/>
    <col min="15875" max="15875" width="43.6640625" style="890" customWidth="1"/>
    <col min="15876" max="15877" width="47.33203125" style="890" customWidth="1"/>
    <col min="15878" max="15878" width="47.1640625" style="890" customWidth="1"/>
    <col min="15879" max="15879" width="43.6640625" style="890" customWidth="1"/>
    <col min="15880" max="15881" width="47.33203125" style="890" customWidth="1"/>
    <col min="15882" max="15882" width="47.1640625" style="890" customWidth="1"/>
    <col min="15883" max="15883" width="43.6640625" style="890" customWidth="1"/>
    <col min="15884" max="15885" width="45" style="890" customWidth="1"/>
    <col min="15886" max="15886" width="44.83203125" style="890" customWidth="1"/>
    <col min="15887" max="15887" width="45" style="890" customWidth="1"/>
    <col min="15888" max="15889" width="47.33203125" style="890" customWidth="1"/>
    <col min="15890" max="15890" width="47.1640625" style="890" customWidth="1"/>
    <col min="15891" max="15891" width="43.6640625" style="890" customWidth="1"/>
    <col min="15892" max="15892" width="193.33203125" style="890" customWidth="1"/>
    <col min="15893" max="15895" width="47.33203125" style="890" customWidth="1"/>
    <col min="15896" max="15896" width="43.6640625" style="890" customWidth="1"/>
    <col min="15897" max="15899" width="47.33203125" style="890" customWidth="1"/>
    <col min="15900" max="15900" width="44" style="890" customWidth="1"/>
    <col min="15901" max="15903" width="47.33203125" style="890" customWidth="1"/>
    <col min="15904" max="15904" width="43.6640625" style="890" customWidth="1"/>
    <col min="15905" max="15907" width="47.33203125" style="890" customWidth="1"/>
    <col min="15908" max="15908" width="43.6640625" style="890" customWidth="1"/>
    <col min="15909" max="15911" width="47.33203125" style="890" customWidth="1"/>
    <col min="15912" max="15912" width="43.6640625" style="890" customWidth="1"/>
    <col min="15913" max="15913" width="193.33203125" style="890" customWidth="1"/>
    <col min="15914" max="15929" width="56" style="890" customWidth="1"/>
    <col min="15930" max="15930" width="59" style="890" customWidth="1"/>
    <col min="15931" max="15931" width="46" style="890" customWidth="1"/>
    <col min="15932" max="16126" width="9.33203125" style="890"/>
    <col min="16127" max="16127" width="193.33203125" style="890" customWidth="1"/>
    <col min="16128" max="16128" width="47.1640625" style="890" customWidth="1"/>
    <col min="16129" max="16129" width="47.33203125" style="890" customWidth="1"/>
    <col min="16130" max="16130" width="47.1640625" style="890" customWidth="1"/>
    <col min="16131" max="16131" width="43.6640625" style="890" customWidth="1"/>
    <col min="16132" max="16133" width="47.33203125" style="890" customWidth="1"/>
    <col min="16134" max="16134" width="47.1640625" style="890" customWidth="1"/>
    <col min="16135" max="16135" width="43.6640625" style="890" customWidth="1"/>
    <col min="16136" max="16137" width="47.33203125" style="890" customWidth="1"/>
    <col min="16138" max="16138" width="47.1640625" style="890" customWidth="1"/>
    <col min="16139" max="16139" width="43.6640625" style="890" customWidth="1"/>
    <col min="16140" max="16141" width="45" style="890" customWidth="1"/>
    <col min="16142" max="16142" width="44.83203125" style="890" customWidth="1"/>
    <col min="16143" max="16143" width="45" style="890" customWidth="1"/>
    <col min="16144" max="16145" width="47.33203125" style="890" customWidth="1"/>
    <col min="16146" max="16146" width="47.1640625" style="890" customWidth="1"/>
    <col min="16147" max="16147" width="43.6640625" style="890" customWidth="1"/>
    <col min="16148" max="16148" width="193.33203125" style="890" customWidth="1"/>
    <col min="16149" max="16151" width="47.33203125" style="890" customWidth="1"/>
    <col min="16152" max="16152" width="43.6640625" style="890" customWidth="1"/>
    <col min="16153" max="16155" width="47.33203125" style="890" customWidth="1"/>
    <col min="16156" max="16156" width="44" style="890" customWidth="1"/>
    <col min="16157" max="16159" width="47.33203125" style="890" customWidth="1"/>
    <col min="16160" max="16160" width="43.6640625" style="890" customWidth="1"/>
    <col min="16161" max="16163" width="47.33203125" style="890" customWidth="1"/>
    <col min="16164" max="16164" width="43.6640625" style="890" customWidth="1"/>
    <col min="16165" max="16167" width="47.33203125" style="890" customWidth="1"/>
    <col min="16168" max="16168" width="43.6640625" style="890" customWidth="1"/>
    <col min="16169" max="16169" width="193.33203125" style="890" customWidth="1"/>
    <col min="16170" max="16185" width="56" style="890" customWidth="1"/>
    <col min="16186" max="16186" width="59" style="890" customWidth="1"/>
    <col min="16187" max="16187" width="46" style="890" customWidth="1"/>
    <col min="16188" max="16384" width="9.33203125" style="890"/>
  </cols>
  <sheetData>
    <row r="1" spans="1:65" ht="51.75" customHeight="1" x14ac:dyDescent="0.7">
      <c r="A1" s="886"/>
      <c r="B1" s="887"/>
      <c r="C1" s="887"/>
      <c r="D1" s="887"/>
      <c r="E1" s="887"/>
      <c r="F1" s="887"/>
      <c r="G1" s="887"/>
      <c r="H1" s="887"/>
      <c r="I1" s="887"/>
      <c r="J1" s="887"/>
      <c r="K1" s="887"/>
      <c r="L1" s="887"/>
      <c r="M1" s="887"/>
      <c r="N1" s="887"/>
      <c r="O1" s="887"/>
      <c r="P1" s="887"/>
      <c r="Q1" s="887"/>
      <c r="R1" s="887"/>
      <c r="S1" s="887"/>
      <c r="T1" s="887"/>
      <c r="U1" s="887"/>
      <c r="V1" s="888"/>
      <c r="W1" s="887"/>
      <c r="X1" s="887"/>
      <c r="Y1" s="887"/>
      <c r="Z1" s="887"/>
      <c r="AA1" s="887"/>
      <c r="AB1" s="887"/>
      <c r="AC1" s="887"/>
      <c r="AD1" s="887"/>
      <c r="AE1" s="887"/>
      <c r="AF1" s="887"/>
      <c r="AG1" s="887"/>
      <c r="AH1" s="887"/>
      <c r="AI1" s="887"/>
      <c r="AJ1" s="887"/>
      <c r="AK1" s="887"/>
      <c r="AL1" s="887"/>
      <c r="AM1" s="886"/>
      <c r="AN1" s="886"/>
      <c r="AO1" s="886"/>
      <c r="AP1" s="886"/>
      <c r="AQ1" s="888"/>
      <c r="AR1" s="886"/>
      <c r="AS1" s="886"/>
      <c r="AT1" s="886"/>
      <c r="AU1" s="886"/>
      <c r="AV1" s="886"/>
      <c r="AW1" s="886"/>
      <c r="AX1" s="886"/>
      <c r="AY1" s="886"/>
      <c r="AZ1" s="886"/>
      <c r="BA1" s="886"/>
      <c r="BB1" s="889"/>
      <c r="BC1" s="889"/>
      <c r="BD1" s="889"/>
      <c r="BE1" s="889"/>
      <c r="BF1" s="887"/>
      <c r="BG1" s="887"/>
      <c r="BH1" s="886"/>
      <c r="BI1" s="886"/>
      <c r="BJ1" s="886"/>
      <c r="BK1" s="886"/>
      <c r="BL1" s="886"/>
      <c r="BM1" s="886"/>
    </row>
    <row r="2" spans="1:65" ht="51.75" customHeight="1" x14ac:dyDescent="0.7">
      <c r="A2" s="886"/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  <c r="O2" s="887"/>
      <c r="P2" s="887"/>
      <c r="Q2" s="887"/>
      <c r="R2" s="887"/>
      <c r="S2" s="887"/>
      <c r="T2" s="887"/>
      <c r="U2" s="887"/>
      <c r="V2" s="888"/>
      <c r="W2" s="887"/>
      <c r="X2" s="887"/>
      <c r="Y2" s="887"/>
      <c r="Z2" s="887"/>
      <c r="AA2" s="887"/>
      <c r="AB2" s="887"/>
      <c r="AC2" s="887"/>
      <c r="AD2" s="887"/>
      <c r="AE2" s="887"/>
      <c r="AF2" s="887"/>
      <c r="AG2" s="887"/>
      <c r="AH2" s="887"/>
      <c r="AI2" s="887"/>
      <c r="AJ2" s="887"/>
      <c r="AK2" s="887"/>
      <c r="AL2" s="887"/>
      <c r="AM2" s="886"/>
      <c r="AN2" s="886"/>
      <c r="AO2" s="886"/>
      <c r="AP2" s="886"/>
      <c r="AQ2" s="888"/>
      <c r="AR2" s="886"/>
      <c r="AS2" s="886"/>
      <c r="AT2" s="886"/>
      <c r="AU2" s="886"/>
      <c r="AV2" s="886"/>
      <c r="AW2" s="886"/>
      <c r="AX2" s="886"/>
      <c r="AY2" s="886"/>
      <c r="AZ2" s="886"/>
      <c r="BA2" s="886"/>
      <c r="BB2" s="889"/>
      <c r="BC2" s="889"/>
      <c r="BD2" s="889"/>
      <c r="BE2" s="889"/>
      <c r="BF2" s="887"/>
      <c r="BG2" s="887"/>
      <c r="BH2" s="886"/>
      <c r="BI2" s="886"/>
      <c r="BJ2" s="886"/>
      <c r="BK2" s="886"/>
      <c r="BL2" s="886"/>
      <c r="BM2" s="886"/>
    </row>
    <row r="3" spans="1:65" s="891" customFormat="1" ht="54" customHeight="1" x14ac:dyDescent="0.85">
      <c r="A3" s="1910" t="s">
        <v>593</v>
      </c>
      <c r="B3" s="1910"/>
      <c r="C3" s="1910"/>
      <c r="D3" s="1910"/>
      <c r="E3" s="1910"/>
      <c r="F3" s="1910"/>
      <c r="G3" s="1910"/>
      <c r="H3" s="1910"/>
      <c r="I3" s="1910"/>
      <c r="J3" s="1910"/>
      <c r="K3" s="1910"/>
      <c r="L3" s="1910"/>
      <c r="M3" s="1910"/>
      <c r="N3" s="1910"/>
      <c r="O3" s="1910"/>
      <c r="P3" s="1910"/>
      <c r="Q3" s="1910"/>
      <c r="R3" s="1910"/>
      <c r="S3" s="1910"/>
      <c r="T3" s="1910"/>
      <c r="U3" s="1910"/>
      <c r="V3" s="1911" t="s">
        <v>593</v>
      </c>
      <c r="W3" s="1911"/>
      <c r="X3" s="1911"/>
      <c r="Y3" s="1911"/>
      <c r="Z3" s="1911"/>
      <c r="AA3" s="1911"/>
      <c r="AB3" s="1911"/>
      <c r="AC3" s="1911"/>
      <c r="AD3" s="1911"/>
      <c r="AE3" s="1911"/>
      <c r="AF3" s="1911"/>
      <c r="AG3" s="1911"/>
      <c r="AH3" s="1911"/>
      <c r="AI3" s="1911"/>
      <c r="AJ3" s="1911"/>
      <c r="AK3" s="1911"/>
      <c r="AL3" s="1911"/>
      <c r="AM3" s="1911"/>
      <c r="AN3" s="1911"/>
      <c r="AO3" s="1911"/>
      <c r="AP3" s="1911"/>
      <c r="AQ3" s="1911" t="s">
        <v>593</v>
      </c>
      <c r="AR3" s="1911"/>
      <c r="AS3" s="1911"/>
      <c r="AT3" s="1911"/>
      <c r="AU3" s="1911"/>
      <c r="AV3" s="1911"/>
      <c r="AW3" s="1911"/>
      <c r="AX3" s="1911"/>
      <c r="AY3" s="1911"/>
      <c r="AZ3" s="1911"/>
      <c r="BA3" s="1911"/>
      <c r="BB3" s="1911"/>
      <c r="BC3" s="1911"/>
      <c r="BD3" s="1911"/>
      <c r="BE3" s="1911"/>
      <c r="BF3" s="1911"/>
      <c r="BG3" s="1911"/>
      <c r="BH3" s="1911"/>
      <c r="BI3" s="1911"/>
      <c r="BJ3" s="1911"/>
      <c r="BK3" s="1911"/>
      <c r="BL3" s="1911"/>
      <c r="BM3" s="1911"/>
    </row>
    <row r="4" spans="1:65" s="891" customFormat="1" ht="54" customHeight="1" x14ac:dyDescent="0.85">
      <c r="A4" s="1912" t="s">
        <v>1130</v>
      </c>
      <c r="B4" s="1912"/>
      <c r="C4" s="1912"/>
      <c r="D4" s="1912"/>
      <c r="E4" s="1912"/>
      <c r="F4" s="1912"/>
      <c r="G4" s="1912"/>
      <c r="H4" s="1912"/>
      <c r="I4" s="1912"/>
      <c r="J4" s="1912"/>
      <c r="K4" s="1912"/>
      <c r="L4" s="1912"/>
      <c r="M4" s="1912"/>
      <c r="N4" s="1912"/>
      <c r="O4" s="1912"/>
      <c r="P4" s="1912"/>
      <c r="Q4" s="1912"/>
      <c r="R4" s="1912"/>
      <c r="S4" s="1912"/>
      <c r="T4" s="1912"/>
      <c r="U4" s="1912"/>
      <c r="V4" s="1911" t="s">
        <v>1130</v>
      </c>
      <c r="W4" s="1911"/>
      <c r="X4" s="1911"/>
      <c r="Y4" s="1911"/>
      <c r="Z4" s="1911"/>
      <c r="AA4" s="1911"/>
      <c r="AB4" s="1911"/>
      <c r="AC4" s="1911"/>
      <c r="AD4" s="1911"/>
      <c r="AE4" s="1911"/>
      <c r="AF4" s="1911"/>
      <c r="AG4" s="1911"/>
      <c r="AH4" s="1911"/>
      <c r="AI4" s="1911"/>
      <c r="AJ4" s="1911"/>
      <c r="AK4" s="1911"/>
      <c r="AL4" s="1911"/>
      <c r="AM4" s="1911"/>
      <c r="AN4" s="1911"/>
      <c r="AO4" s="1911"/>
      <c r="AP4" s="1911"/>
      <c r="AQ4" s="1911" t="s">
        <v>1130</v>
      </c>
      <c r="AR4" s="1911"/>
      <c r="AS4" s="1911"/>
      <c r="AT4" s="1911"/>
      <c r="AU4" s="1911"/>
      <c r="AV4" s="1911"/>
      <c r="AW4" s="1911"/>
      <c r="AX4" s="1911"/>
      <c r="AY4" s="1911"/>
      <c r="AZ4" s="1911"/>
      <c r="BA4" s="1911"/>
      <c r="BB4" s="1911"/>
      <c r="BC4" s="1911"/>
      <c r="BD4" s="1911"/>
      <c r="BE4" s="1911"/>
      <c r="BF4" s="1911"/>
      <c r="BG4" s="1911"/>
      <c r="BH4" s="1911"/>
      <c r="BI4" s="1911"/>
      <c r="BJ4" s="1911"/>
      <c r="BK4" s="1911"/>
      <c r="BL4" s="1911"/>
      <c r="BM4" s="1911"/>
    </row>
    <row r="5" spans="1:65" ht="62.25" customHeight="1" thickBot="1" x14ac:dyDescent="0.75">
      <c r="A5" s="886"/>
      <c r="B5" s="887"/>
      <c r="C5" s="887"/>
      <c r="D5" s="887"/>
      <c r="E5" s="887"/>
      <c r="F5" s="887"/>
      <c r="G5" s="887"/>
      <c r="H5" s="887"/>
      <c r="I5" s="887"/>
      <c r="J5" s="887"/>
      <c r="K5" s="887"/>
      <c r="L5" s="887"/>
      <c r="M5" s="887"/>
      <c r="N5" s="887"/>
      <c r="O5" s="887"/>
      <c r="P5" s="887"/>
      <c r="Q5" s="887"/>
      <c r="R5" s="887"/>
      <c r="S5" s="887"/>
      <c r="T5" s="887"/>
      <c r="U5" s="887"/>
      <c r="V5" s="888"/>
      <c r="W5" s="887"/>
      <c r="X5" s="887"/>
      <c r="Y5" s="887"/>
      <c r="Z5" s="887"/>
      <c r="AA5" s="887"/>
      <c r="AB5" s="887"/>
      <c r="AC5" s="887"/>
      <c r="AD5" s="887"/>
      <c r="AE5" s="887"/>
      <c r="AF5" s="887"/>
      <c r="AG5" s="887"/>
      <c r="AH5" s="887"/>
      <c r="AI5" s="887"/>
      <c r="AJ5" s="887"/>
      <c r="AK5" s="887"/>
      <c r="AL5" s="887"/>
      <c r="AM5" s="886"/>
      <c r="AN5" s="886"/>
      <c r="AO5" s="886"/>
      <c r="AP5" s="886"/>
      <c r="AQ5" s="888"/>
      <c r="AR5" s="886"/>
      <c r="AS5" s="886"/>
      <c r="AT5" s="886"/>
      <c r="AU5" s="886"/>
      <c r="AV5" s="886"/>
      <c r="AW5" s="886"/>
      <c r="AX5" s="886"/>
      <c r="AY5" s="886"/>
      <c r="AZ5" s="886"/>
      <c r="BA5" s="886"/>
      <c r="BB5" s="889"/>
      <c r="BC5" s="889"/>
      <c r="BD5" s="889"/>
      <c r="BE5" s="889"/>
      <c r="BF5" s="887"/>
      <c r="BG5" s="887"/>
      <c r="BH5" s="886"/>
      <c r="BI5" s="886"/>
      <c r="BJ5" s="886"/>
      <c r="BK5" s="886"/>
      <c r="BL5" s="886"/>
      <c r="BM5" s="886"/>
    </row>
    <row r="6" spans="1:65" s="894" customFormat="1" ht="54.75" customHeight="1" thickBot="1" x14ac:dyDescent="0.8">
      <c r="A6" s="1806"/>
      <c r="B6" s="1904" t="s">
        <v>1131</v>
      </c>
      <c r="C6" s="1905"/>
      <c r="D6" s="1905"/>
      <c r="E6" s="1906"/>
      <c r="F6" s="1913" t="s">
        <v>608</v>
      </c>
      <c r="G6" s="1914"/>
      <c r="H6" s="1914"/>
      <c r="I6" s="1915"/>
      <c r="J6" s="1904" t="s">
        <v>1132</v>
      </c>
      <c r="K6" s="1905"/>
      <c r="L6" s="1905"/>
      <c r="M6" s="1906"/>
      <c r="N6" s="1904" t="s">
        <v>76</v>
      </c>
      <c r="O6" s="1905"/>
      <c r="P6" s="1905"/>
      <c r="Q6" s="1906"/>
      <c r="R6" s="1913" t="s">
        <v>623</v>
      </c>
      <c r="S6" s="1914"/>
      <c r="T6" s="1914"/>
      <c r="U6" s="1915"/>
      <c r="V6" s="1806"/>
      <c r="W6" s="1904" t="s">
        <v>148</v>
      </c>
      <c r="X6" s="1905"/>
      <c r="Y6" s="1905"/>
      <c r="Z6" s="1906"/>
      <c r="AA6" s="1913" t="s">
        <v>143</v>
      </c>
      <c r="AB6" s="1914"/>
      <c r="AC6" s="1914"/>
      <c r="AD6" s="1915"/>
      <c r="AE6" s="1904" t="s">
        <v>632</v>
      </c>
      <c r="AF6" s="1905"/>
      <c r="AG6" s="1905"/>
      <c r="AH6" s="1906"/>
      <c r="AI6" s="1913" t="s">
        <v>635</v>
      </c>
      <c r="AJ6" s="1914"/>
      <c r="AK6" s="1914"/>
      <c r="AL6" s="1915"/>
      <c r="AM6" s="1922" t="s">
        <v>1133</v>
      </c>
      <c r="AN6" s="1923"/>
      <c r="AO6" s="1923"/>
      <c r="AP6" s="1924"/>
      <c r="AQ6" s="1806"/>
      <c r="AR6" s="1919" t="s">
        <v>1134</v>
      </c>
      <c r="AS6" s="1920"/>
      <c r="AT6" s="1920"/>
      <c r="AU6" s="1920"/>
      <c r="AV6" s="1920"/>
      <c r="AW6" s="1920"/>
      <c r="AX6" s="1920"/>
      <c r="AY6" s="1921"/>
      <c r="AZ6" s="1913" t="s">
        <v>1135</v>
      </c>
      <c r="BA6" s="1914"/>
      <c r="BB6" s="1914"/>
      <c r="BC6" s="1915"/>
      <c r="BD6" s="1904" t="s">
        <v>1136</v>
      </c>
      <c r="BE6" s="1905"/>
      <c r="BF6" s="1905"/>
      <c r="BG6" s="1906"/>
      <c r="BH6" s="889"/>
      <c r="BI6" s="889"/>
      <c r="BJ6" s="889"/>
      <c r="BK6" s="889"/>
      <c r="BL6" s="889"/>
      <c r="BM6" s="893"/>
    </row>
    <row r="7" spans="1:65" s="899" customFormat="1" ht="54.75" customHeight="1" thickBot="1" x14ac:dyDescent="0.75">
      <c r="A7" s="1807" t="s">
        <v>1137</v>
      </c>
      <c r="B7" s="1907"/>
      <c r="C7" s="1908"/>
      <c r="D7" s="1908"/>
      <c r="E7" s="1909"/>
      <c r="F7" s="1916"/>
      <c r="G7" s="1917"/>
      <c r="H7" s="1917"/>
      <c r="I7" s="1918"/>
      <c r="J7" s="1907"/>
      <c r="K7" s="1908"/>
      <c r="L7" s="1908"/>
      <c r="M7" s="1909"/>
      <c r="N7" s="1907"/>
      <c r="O7" s="1908"/>
      <c r="P7" s="1908"/>
      <c r="Q7" s="1909"/>
      <c r="R7" s="1916"/>
      <c r="S7" s="1917"/>
      <c r="T7" s="1917"/>
      <c r="U7" s="1918"/>
      <c r="V7" s="1807" t="s">
        <v>1137</v>
      </c>
      <c r="W7" s="1907"/>
      <c r="X7" s="1908"/>
      <c r="Y7" s="1908"/>
      <c r="Z7" s="1909"/>
      <c r="AA7" s="1916"/>
      <c r="AB7" s="1917"/>
      <c r="AC7" s="1917"/>
      <c r="AD7" s="1918"/>
      <c r="AE7" s="1907"/>
      <c r="AF7" s="1908"/>
      <c r="AG7" s="1908"/>
      <c r="AH7" s="1909"/>
      <c r="AI7" s="1916"/>
      <c r="AJ7" s="1917"/>
      <c r="AK7" s="1917"/>
      <c r="AL7" s="1918"/>
      <c r="AM7" s="1925"/>
      <c r="AN7" s="1926"/>
      <c r="AO7" s="1926"/>
      <c r="AP7" s="1927"/>
      <c r="AQ7" s="1807" t="s">
        <v>1137</v>
      </c>
      <c r="AR7" s="1919" t="s">
        <v>1138</v>
      </c>
      <c r="AS7" s="1920"/>
      <c r="AT7" s="1920"/>
      <c r="AU7" s="1921"/>
      <c r="AV7" s="1919" t="s">
        <v>1139</v>
      </c>
      <c r="AW7" s="1920"/>
      <c r="AX7" s="1920"/>
      <c r="AY7" s="1921"/>
      <c r="AZ7" s="1916"/>
      <c r="BA7" s="1917"/>
      <c r="BB7" s="1917"/>
      <c r="BC7" s="1918"/>
      <c r="BD7" s="1907"/>
      <c r="BE7" s="1908"/>
      <c r="BF7" s="1908"/>
      <c r="BG7" s="1909"/>
      <c r="BH7" s="897"/>
      <c r="BI7" s="897"/>
      <c r="BJ7" s="897"/>
      <c r="BK7" s="897"/>
      <c r="BL7" s="897"/>
      <c r="BM7" s="898"/>
    </row>
    <row r="8" spans="1:65" s="894" customFormat="1" ht="141.75" customHeight="1" thickBot="1" x14ac:dyDescent="0.75">
      <c r="A8" s="1808">
        <v>2024</v>
      </c>
      <c r="B8" s="1809" t="s">
        <v>1140</v>
      </c>
      <c r="C8" s="1809" t="s">
        <v>1141</v>
      </c>
      <c r="D8" s="1809" t="s">
        <v>83</v>
      </c>
      <c r="E8" s="1809" t="s">
        <v>1142</v>
      </c>
      <c r="F8" s="1809" t="s">
        <v>1140</v>
      </c>
      <c r="G8" s="1809" t="s">
        <v>1141</v>
      </c>
      <c r="H8" s="1809" t="s">
        <v>83</v>
      </c>
      <c r="I8" s="1809" t="s">
        <v>1142</v>
      </c>
      <c r="J8" s="1809" t="s">
        <v>1140</v>
      </c>
      <c r="K8" s="1809" t="s">
        <v>1141</v>
      </c>
      <c r="L8" s="1809" t="s">
        <v>83</v>
      </c>
      <c r="M8" s="1809" t="s">
        <v>1142</v>
      </c>
      <c r="N8" s="1809" t="s">
        <v>1140</v>
      </c>
      <c r="O8" s="1809" t="s">
        <v>1141</v>
      </c>
      <c r="P8" s="1809" t="s">
        <v>83</v>
      </c>
      <c r="Q8" s="1809" t="s">
        <v>1142</v>
      </c>
      <c r="R8" s="1809" t="s">
        <v>1140</v>
      </c>
      <c r="S8" s="1809" t="s">
        <v>1141</v>
      </c>
      <c r="T8" s="1809" t="s">
        <v>83</v>
      </c>
      <c r="U8" s="1809" t="s">
        <v>1142</v>
      </c>
      <c r="V8" s="1810">
        <v>2024</v>
      </c>
      <c r="W8" s="1809" t="s">
        <v>1140</v>
      </c>
      <c r="X8" s="1809" t="s">
        <v>1141</v>
      </c>
      <c r="Y8" s="1809" t="s">
        <v>83</v>
      </c>
      <c r="Z8" s="1809" t="s">
        <v>1142</v>
      </c>
      <c r="AA8" s="1809" t="s">
        <v>1140</v>
      </c>
      <c r="AB8" s="1809" t="s">
        <v>1141</v>
      </c>
      <c r="AC8" s="1809" t="s">
        <v>83</v>
      </c>
      <c r="AD8" s="1809" t="s">
        <v>1142</v>
      </c>
      <c r="AE8" s="1809" t="s">
        <v>1140</v>
      </c>
      <c r="AF8" s="1809" t="s">
        <v>1141</v>
      </c>
      <c r="AG8" s="1809" t="s">
        <v>83</v>
      </c>
      <c r="AH8" s="1809" t="s">
        <v>1142</v>
      </c>
      <c r="AI8" s="1809" t="s">
        <v>1140</v>
      </c>
      <c r="AJ8" s="1809" t="s">
        <v>1141</v>
      </c>
      <c r="AK8" s="1809" t="s">
        <v>83</v>
      </c>
      <c r="AL8" s="1809" t="s">
        <v>1142</v>
      </c>
      <c r="AM8" s="1809" t="s">
        <v>1140</v>
      </c>
      <c r="AN8" s="1809" t="s">
        <v>1141</v>
      </c>
      <c r="AO8" s="1809" t="s">
        <v>83</v>
      </c>
      <c r="AP8" s="1809" t="s">
        <v>1142</v>
      </c>
      <c r="AQ8" s="1810">
        <v>2024</v>
      </c>
      <c r="AR8" s="1809" t="s">
        <v>1140</v>
      </c>
      <c r="AS8" s="1809" t="s">
        <v>1141</v>
      </c>
      <c r="AT8" s="1809" t="s">
        <v>83</v>
      </c>
      <c r="AU8" s="1809" t="s">
        <v>1142</v>
      </c>
      <c r="AV8" s="1809" t="s">
        <v>1140</v>
      </c>
      <c r="AW8" s="1809" t="s">
        <v>1141</v>
      </c>
      <c r="AX8" s="1809" t="s">
        <v>83</v>
      </c>
      <c r="AY8" s="1809" t="s">
        <v>1142</v>
      </c>
      <c r="AZ8" s="1809" t="s">
        <v>1140</v>
      </c>
      <c r="BA8" s="1809" t="s">
        <v>1141</v>
      </c>
      <c r="BB8" s="1809" t="s">
        <v>83</v>
      </c>
      <c r="BC8" s="1809" t="s">
        <v>1142</v>
      </c>
      <c r="BD8" s="1809" t="s">
        <v>1140</v>
      </c>
      <c r="BE8" s="1809" t="s">
        <v>1141</v>
      </c>
      <c r="BF8" s="1809" t="s">
        <v>83</v>
      </c>
      <c r="BG8" s="1809" t="s">
        <v>1142</v>
      </c>
      <c r="BH8" s="889"/>
      <c r="BI8" s="889"/>
      <c r="BJ8" s="889"/>
      <c r="BK8" s="889"/>
      <c r="BL8" s="889"/>
      <c r="BM8" s="893"/>
    </row>
    <row r="9" spans="1:65" ht="45.75" customHeight="1" x14ac:dyDescent="0.75">
      <c r="A9" s="1811" t="s">
        <v>1143</v>
      </c>
      <c r="B9" s="1812"/>
      <c r="C9" s="1812"/>
      <c r="D9" s="1812"/>
      <c r="E9" s="1812"/>
      <c r="F9" s="1812"/>
      <c r="G9" s="1812"/>
      <c r="H9" s="1812"/>
      <c r="I9" s="1812"/>
      <c r="J9" s="1812"/>
      <c r="K9" s="1812"/>
      <c r="L9" s="1812"/>
      <c r="M9" s="1812"/>
      <c r="N9" s="1812"/>
      <c r="O9" s="1812"/>
      <c r="P9" s="1812"/>
      <c r="Q9" s="1812"/>
      <c r="R9" s="1812"/>
      <c r="S9" s="1812"/>
      <c r="T9" s="1812"/>
      <c r="U9" s="1812"/>
      <c r="V9" s="1811" t="s">
        <v>1143</v>
      </c>
      <c r="W9" s="1812"/>
      <c r="X9" s="1812"/>
      <c r="Y9" s="1812"/>
      <c r="Z9" s="1812"/>
      <c r="AA9" s="1812"/>
      <c r="AB9" s="1812"/>
      <c r="AC9" s="1812"/>
      <c r="AD9" s="1812"/>
      <c r="AE9" s="1812"/>
      <c r="AF9" s="1812"/>
      <c r="AG9" s="1812"/>
      <c r="AH9" s="1812"/>
      <c r="AI9" s="1812"/>
      <c r="AJ9" s="1812"/>
      <c r="AK9" s="1812"/>
      <c r="AL9" s="1812"/>
      <c r="AM9" s="1811"/>
      <c r="AN9" s="1811"/>
      <c r="AO9" s="1811"/>
      <c r="AP9" s="1811"/>
      <c r="AQ9" s="1811" t="s">
        <v>1143</v>
      </c>
      <c r="AR9" s="1811"/>
      <c r="AS9" s="1811"/>
      <c r="AT9" s="1811"/>
      <c r="AU9" s="1811"/>
      <c r="AV9" s="1811"/>
      <c r="AW9" s="1811"/>
      <c r="AX9" s="1811"/>
      <c r="AY9" s="1811"/>
      <c r="AZ9" s="1811"/>
      <c r="BA9" s="1811"/>
      <c r="BB9" s="1813"/>
      <c r="BC9" s="1813"/>
      <c r="BD9" s="1813"/>
      <c r="BE9" s="1813"/>
      <c r="BF9" s="1812"/>
      <c r="BG9" s="1812"/>
      <c r="BH9" s="886"/>
      <c r="BI9" s="886"/>
      <c r="BJ9" s="886"/>
      <c r="BK9" s="886"/>
      <c r="BL9" s="886"/>
      <c r="BM9" s="886"/>
    </row>
    <row r="10" spans="1:65" ht="57" customHeight="1" x14ac:dyDescent="0.75">
      <c r="A10" s="1814" t="s">
        <v>1144</v>
      </c>
      <c r="B10" s="1815">
        <f>'[4]int.bevételek RM I'!B10</f>
        <v>1620</v>
      </c>
      <c r="C10" s="1815">
        <f>'[4]int.bevételek RM III'!D10</f>
        <v>3562</v>
      </c>
      <c r="D10" s="1815">
        <f>3561+1</f>
        <v>3562</v>
      </c>
      <c r="E10" s="1816">
        <f t="shared" ref="E10:E30" si="0">D10/C10</f>
        <v>1</v>
      </c>
      <c r="F10" s="1815">
        <f>'[4]int.bevételek RM I'!E10</f>
        <v>0</v>
      </c>
      <c r="G10" s="1815">
        <f>'[4]int.bevételek RM III'!G10</f>
        <v>23</v>
      </c>
      <c r="H10" s="1815">
        <v>22</v>
      </c>
      <c r="I10" s="1816">
        <f>H10/G10</f>
        <v>0.95652173913043481</v>
      </c>
      <c r="J10" s="1815">
        <f>'[4]int.bevételek RM I'!H10</f>
        <v>0</v>
      </c>
      <c r="K10" s="1815">
        <f>'[4]int.bevételek RM III'!J10</f>
        <v>0</v>
      </c>
      <c r="L10" s="1815"/>
      <c r="M10" s="1816"/>
      <c r="N10" s="1815">
        <f>'[4]int.bevételek RM I'!K10</f>
        <v>0</v>
      </c>
      <c r="O10" s="1815">
        <f>'[4]int.bevételek RM III'!M10</f>
        <v>0</v>
      </c>
      <c r="P10" s="1815"/>
      <c r="Q10" s="1816"/>
      <c r="R10" s="1817">
        <f>B10+F10+J10+N10</f>
        <v>1620</v>
      </c>
      <c r="S10" s="1817">
        <f>C10+G10+K10+O10</f>
        <v>3585</v>
      </c>
      <c r="T10" s="1817">
        <f>D10+H10+L10+P10</f>
        <v>3584</v>
      </c>
      <c r="U10" s="1818">
        <f t="shared" ref="U10:U30" si="1">T10/S10</f>
        <v>0.99972105997210603</v>
      </c>
      <c r="V10" s="1814" t="s">
        <v>1144</v>
      </c>
      <c r="W10" s="1815">
        <f>'[4]int.bevételek RM I'!R10</f>
        <v>0</v>
      </c>
      <c r="X10" s="1815">
        <f>'[4]int.bevételek RM III'!T10</f>
        <v>0</v>
      </c>
      <c r="Y10" s="1815"/>
      <c r="Z10" s="1816"/>
      <c r="AA10" s="1815">
        <f>'[4]int.bevételek RM I'!U10</f>
        <v>0</v>
      </c>
      <c r="AB10" s="1815">
        <f>'[4]int.bevételek RM III'!W10</f>
        <v>0</v>
      </c>
      <c r="AC10" s="1815"/>
      <c r="AD10" s="1816"/>
      <c r="AE10" s="1815">
        <f>'[4]int.bevételek RM I'!X10</f>
        <v>0</v>
      </c>
      <c r="AF10" s="1815">
        <f>'[4]int.bevételek RM III'!Z10</f>
        <v>0</v>
      </c>
      <c r="AG10" s="1815"/>
      <c r="AH10" s="1816"/>
      <c r="AI10" s="1817">
        <f t="shared" ref="AI10:AK27" si="2">W10+AA10+AE10</f>
        <v>0</v>
      </c>
      <c r="AJ10" s="1817">
        <f t="shared" si="2"/>
        <v>0</v>
      </c>
      <c r="AK10" s="1817">
        <f t="shared" si="2"/>
        <v>0</v>
      </c>
      <c r="AL10" s="1818"/>
      <c r="AM10" s="1815"/>
      <c r="AN10" s="1815">
        <f>'[4]int.bevételek RM III'!AJ10</f>
        <v>2389</v>
      </c>
      <c r="AO10" s="1815">
        <v>2389</v>
      </c>
      <c r="AP10" s="1816">
        <f t="shared" ref="AP10:AP30" si="3">AO10/AN10</f>
        <v>1</v>
      </c>
      <c r="AQ10" s="1814" t="s">
        <v>1144</v>
      </c>
      <c r="AR10" s="1815">
        <f>'[4]int.bevételek RM I'!AK10</f>
        <v>243167</v>
      </c>
      <c r="AS10" s="1815">
        <f>'[4]int.bevételek RM III'!AM10</f>
        <v>241508</v>
      </c>
      <c r="AT10" s="1815">
        <f>234917-3471</f>
        <v>231446</v>
      </c>
      <c r="AU10" s="1816">
        <f t="shared" ref="AU10:AU30" si="4">AT10/AS10</f>
        <v>0.95833678387465426</v>
      </c>
      <c r="AV10" s="1815">
        <f>'[4]int.bevételek RM I'!AN10</f>
        <v>0</v>
      </c>
      <c r="AW10" s="1815">
        <f>'[4]int.bevételek RM III'!AP10</f>
        <v>3473</v>
      </c>
      <c r="AX10" s="1815">
        <v>3471</v>
      </c>
      <c r="AY10" s="1816">
        <f t="shared" ref="AY10:AY26" si="5">AX10/AW10</f>
        <v>0.99942412899510513</v>
      </c>
      <c r="AZ10" s="1817">
        <f t="shared" ref="AZ10:BB27" si="6">AR10+AV10</f>
        <v>243167</v>
      </c>
      <c r="BA10" s="1817">
        <f t="shared" si="6"/>
        <v>244981</v>
      </c>
      <c r="BB10" s="1817">
        <f t="shared" si="6"/>
        <v>234917</v>
      </c>
      <c r="BC10" s="1818">
        <f t="shared" ref="BC10:BC30" si="7">BB10/BA10</f>
        <v>0.9589192631265282</v>
      </c>
      <c r="BD10" s="1817">
        <f t="shared" ref="BD10:BF27" si="8">R10+AI10+AM10+AZ10</f>
        <v>244787</v>
      </c>
      <c r="BE10" s="1817">
        <f t="shared" si="8"/>
        <v>250955</v>
      </c>
      <c r="BF10" s="1817">
        <f t="shared" si="8"/>
        <v>240890</v>
      </c>
      <c r="BG10" s="1818">
        <f t="shared" ref="BG10:BG30" si="9">BF10/BE10</f>
        <v>0.95989320794564759</v>
      </c>
      <c r="BH10" s="886"/>
      <c r="BI10" s="886"/>
      <c r="BJ10" s="886"/>
      <c r="BK10" s="886"/>
      <c r="BL10" s="886"/>
      <c r="BM10" s="886"/>
    </row>
    <row r="11" spans="1:65" ht="57" customHeight="1" x14ac:dyDescent="0.75">
      <c r="A11" s="1814" t="s">
        <v>1145</v>
      </c>
      <c r="B11" s="1815">
        <f>'[4]int.bevételek RM I'!B11</f>
        <v>1000</v>
      </c>
      <c r="C11" s="1815">
        <f>'[4]int.bevételek RM III'!D11</f>
        <v>1024</v>
      </c>
      <c r="D11" s="1815">
        <v>1023</v>
      </c>
      <c r="E11" s="1816">
        <f t="shared" si="0"/>
        <v>0.9990234375</v>
      </c>
      <c r="F11" s="1815">
        <f>'[4]int.bevételek RM I'!E11</f>
        <v>0</v>
      </c>
      <c r="G11" s="1815">
        <f>'[4]int.bevételek RM III'!G11</f>
        <v>0</v>
      </c>
      <c r="H11" s="1815"/>
      <c r="I11" s="1816"/>
      <c r="J11" s="1815">
        <f>'[4]int.bevételek RM I'!H11</f>
        <v>0</v>
      </c>
      <c r="K11" s="1815">
        <f>'[4]int.bevételek RM III'!J11</f>
        <v>0</v>
      </c>
      <c r="L11" s="1815"/>
      <c r="M11" s="1816"/>
      <c r="N11" s="1815">
        <f>'[4]int.bevételek RM I'!K11</f>
        <v>0</v>
      </c>
      <c r="O11" s="1815">
        <f>'[4]int.bevételek RM III'!M11</f>
        <v>0</v>
      </c>
      <c r="P11" s="1815"/>
      <c r="Q11" s="1816"/>
      <c r="R11" s="1817">
        <f t="shared" ref="R11:T27" si="10">B11+F11+J11+N11</f>
        <v>1000</v>
      </c>
      <c r="S11" s="1817">
        <f t="shared" si="10"/>
        <v>1024</v>
      </c>
      <c r="T11" s="1817">
        <f t="shared" si="10"/>
        <v>1023</v>
      </c>
      <c r="U11" s="1818">
        <f t="shared" si="1"/>
        <v>0.9990234375</v>
      </c>
      <c r="V11" s="1814" t="s">
        <v>1145</v>
      </c>
      <c r="W11" s="1815">
        <f>'[4]int.bevételek RM I'!R11</f>
        <v>0</v>
      </c>
      <c r="X11" s="1815">
        <f>'[4]int.bevételek RM III'!T11</f>
        <v>0</v>
      </c>
      <c r="Y11" s="1815"/>
      <c r="Z11" s="1816"/>
      <c r="AA11" s="1815">
        <f>'[4]int.bevételek RM I'!U11</f>
        <v>0</v>
      </c>
      <c r="AB11" s="1815">
        <f>'[4]int.bevételek RM III'!W11</f>
        <v>0</v>
      </c>
      <c r="AC11" s="1815"/>
      <c r="AD11" s="1816"/>
      <c r="AE11" s="1815">
        <f>'[4]int.bevételek RM I'!X11</f>
        <v>0</v>
      </c>
      <c r="AF11" s="1815">
        <f>'[4]int.bevételek RM III'!Z11</f>
        <v>0</v>
      </c>
      <c r="AG11" s="1815"/>
      <c r="AH11" s="1816"/>
      <c r="AI11" s="1817">
        <f t="shared" si="2"/>
        <v>0</v>
      </c>
      <c r="AJ11" s="1817">
        <f t="shared" si="2"/>
        <v>0</v>
      </c>
      <c r="AK11" s="1817">
        <f t="shared" si="2"/>
        <v>0</v>
      </c>
      <c r="AL11" s="1818"/>
      <c r="AM11" s="1815"/>
      <c r="AN11" s="1815">
        <f>'[4]int.bevételek RM III'!AJ11</f>
        <v>1653</v>
      </c>
      <c r="AO11" s="1815">
        <v>1653</v>
      </c>
      <c r="AP11" s="1816">
        <f t="shared" si="3"/>
        <v>1</v>
      </c>
      <c r="AQ11" s="1814" t="s">
        <v>1145</v>
      </c>
      <c r="AR11" s="1815">
        <f>'[4]int.bevételek RM I'!AK11</f>
        <v>157918</v>
      </c>
      <c r="AS11" s="1815">
        <f>'[4]int.bevételek RM III'!AM11</f>
        <v>165885</v>
      </c>
      <c r="AT11" s="1815">
        <f>161880-844</f>
        <v>161036</v>
      </c>
      <c r="AU11" s="1816">
        <f t="shared" si="4"/>
        <v>0.97076890616993705</v>
      </c>
      <c r="AV11" s="1815">
        <f>'[4]int.bevételek RM I'!AN11</f>
        <v>0</v>
      </c>
      <c r="AW11" s="1815">
        <f>'[4]int.bevételek RM III'!AP11</f>
        <v>845</v>
      </c>
      <c r="AX11" s="1815">
        <v>844</v>
      </c>
      <c r="AY11" s="1816">
        <f t="shared" si="5"/>
        <v>0.99881656804733732</v>
      </c>
      <c r="AZ11" s="1817">
        <f t="shared" si="6"/>
        <v>157918</v>
      </c>
      <c r="BA11" s="1817">
        <f t="shared" si="6"/>
        <v>166730</v>
      </c>
      <c r="BB11" s="1817">
        <f t="shared" si="6"/>
        <v>161880</v>
      </c>
      <c r="BC11" s="1818">
        <f t="shared" si="7"/>
        <v>0.97091105379955622</v>
      </c>
      <c r="BD11" s="1817">
        <f t="shared" si="8"/>
        <v>158918</v>
      </c>
      <c r="BE11" s="1817">
        <f t="shared" si="8"/>
        <v>169407</v>
      </c>
      <c r="BF11" s="1817">
        <f t="shared" si="8"/>
        <v>164556</v>
      </c>
      <c r="BG11" s="1818">
        <f t="shared" si="9"/>
        <v>0.97136481963555221</v>
      </c>
      <c r="BH11" s="886"/>
      <c r="BI11" s="886"/>
      <c r="BJ11" s="886"/>
      <c r="BK11" s="886"/>
      <c r="BL11" s="886"/>
      <c r="BM11" s="886"/>
    </row>
    <row r="12" spans="1:65" ht="57" customHeight="1" x14ac:dyDescent="0.75">
      <c r="A12" s="1814" t="s">
        <v>1146</v>
      </c>
      <c r="B12" s="1815">
        <f>'[4]int.bevételek RM I'!B12</f>
        <v>1248</v>
      </c>
      <c r="C12" s="1815">
        <f>'[4]int.bevételek RM III'!D12</f>
        <v>1473</v>
      </c>
      <c r="D12" s="1815">
        <v>1468</v>
      </c>
      <c r="E12" s="1816">
        <f t="shared" si="0"/>
        <v>0.99660556687033264</v>
      </c>
      <c r="F12" s="1815">
        <f>'[4]int.bevételek RM I'!E12</f>
        <v>0</v>
      </c>
      <c r="G12" s="1815">
        <f>'[4]int.bevételek RM III'!G12</f>
        <v>240</v>
      </c>
      <c r="H12" s="1815">
        <f>239+1</f>
        <v>240</v>
      </c>
      <c r="I12" s="1816">
        <f>H12/G12</f>
        <v>1</v>
      </c>
      <c r="J12" s="1815">
        <f>'[4]int.bevételek RM I'!H12</f>
        <v>0</v>
      </c>
      <c r="K12" s="1815">
        <f>'[4]int.bevételek RM III'!J12</f>
        <v>0</v>
      </c>
      <c r="L12" s="1815"/>
      <c r="M12" s="1816"/>
      <c r="N12" s="1815">
        <f>'[4]int.bevételek RM I'!K12</f>
        <v>0</v>
      </c>
      <c r="O12" s="1815">
        <f>'[4]int.bevételek RM III'!M12</f>
        <v>0</v>
      </c>
      <c r="P12" s="1815"/>
      <c r="Q12" s="1816"/>
      <c r="R12" s="1817">
        <f t="shared" si="10"/>
        <v>1248</v>
      </c>
      <c r="S12" s="1817">
        <f t="shared" si="10"/>
        <v>1713</v>
      </c>
      <c r="T12" s="1817">
        <f t="shared" si="10"/>
        <v>1708</v>
      </c>
      <c r="U12" s="1818">
        <f t="shared" si="1"/>
        <v>0.99708114419147698</v>
      </c>
      <c r="V12" s="1814" t="s">
        <v>1146</v>
      </c>
      <c r="W12" s="1815">
        <f>'[4]int.bevételek RM I'!R12</f>
        <v>0</v>
      </c>
      <c r="X12" s="1815">
        <f>'[4]int.bevételek RM III'!T12</f>
        <v>0</v>
      </c>
      <c r="Y12" s="1815"/>
      <c r="Z12" s="1816"/>
      <c r="AA12" s="1815">
        <f>'[4]int.bevételek RM I'!U12</f>
        <v>0</v>
      </c>
      <c r="AB12" s="1815">
        <f>'[4]int.bevételek RM III'!W12</f>
        <v>0</v>
      </c>
      <c r="AC12" s="1815"/>
      <c r="AD12" s="1816"/>
      <c r="AE12" s="1815">
        <f>'[4]int.bevételek RM I'!X12</f>
        <v>0</v>
      </c>
      <c r="AF12" s="1815">
        <f>'[4]int.bevételek RM III'!Z12</f>
        <v>0</v>
      </c>
      <c r="AG12" s="1815"/>
      <c r="AH12" s="1816"/>
      <c r="AI12" s="1817">
        <f t="shared" si="2"/>
        <v>0</v>
      </c>
      <c r="AJ12" s="1817">
        <f t="shared" si="2"/>
        <v>0</v>
      </c>
      <c r="AK12" s="1817">
        <f t="shared" si="2"/>
        <v>0</v>
      </c>
      <c r="AL12" s="1818"/>
      <c r="AM12" s="1815"/>
      <c r="AN12" s="1815">
        <f>'[4]int.bevételek RM III'!AJ12</f>
        <v>511</v>
      </c>
      <c r="AO12" s="1815">
        <v>511</v>
      </c>
      <c r="AP12" s="1816">
        <f t="shared" si="3"/>
        <v>1</v>
      </c>
      <c r="AQ12" s="1814" t="s">
        <v>1146</v>
      </c>
      <c r="AR12" s="1815">
        <f>'[4]int.bevételek RM I'!AK12</f>
        <v>176103</v>
      </c>
      <c r="AS12" s="1815">
        <f>'[4]int.bevételek RM III'!AM12</f>
        <v>179938</v>
      </c>
      <c r="AT12" s="1815">
        <f>174653-553</f>
        <v>174100</v>
      </c>
      <c r="AU12" s="1816">
        <f t="shared" si="4"/>
        <v>0.96755549133590457</v>
      </c>
      <c r="AV12" s="1815">
        <f>'[4]int.bevételek RM I'!AN12</f>
        <v>0</v>
      </c>
      <c r="AW12" s="1815">
        <f>'[4]int.bevételek RM III'!AP12</f>
        <v>554</v>
      </c>
      <c r="AX12" s="1815">
        <v>553</v>
      </c>
      <c r="AY12" s="1816">
        <f t="shared" si="5"/>
        <v>0.99819494584837543</v>
      </c>
      <c r="AZ12" s="1817">
        <f t="shared" si="6"/>
        <v>176103</v>
      </c>
      <c r="BA12" s="1817">
        <f t="shared" si="6"/>
        <v>180492</v>
      </c>
      <c r="BB12" s="1817">
        <f t="shared" si="6"/>
        <v>174653</v>
      </c>
      <c r="BC12" s="1818">
        <f t="shared" si="7"/>
        <v>0.96764953571349421</v>
      </c>
      <c r="BD12" s="1817">
        <f t="shared" si="8"/>
        <v>177351</v>
      </c>
      <c r="BE12" s="1817">
        <f t="shared" si="8"/>
        <v>182716</v>
      </c>
      <c r="BF12" s="1817">
        <f t="shared" si="8"/>
        <v>176872</v>
      </c>
      <c r="BG12" s="1818">
        <f t="shared" si="9"/>
        <v>0.96801593730160462</v>
      </c>
      <c r="BH12" s="886"/>
      <c r="BI12" s="886"/>
      <c r="BJ12" s="886"/>
      <c r="BK12" s="886"/>
      <c r="BL12" s="886"/>
      <c r="BM12" s="886"/>
    </row>
    <row r="13" spans="1:65" ht="57" customHeight="1" x14ac:dyDescent="0.75">
      <c r="A13" s="1814" t="s">
        <v>1147</v>
      </c>
      <c r="B13" s="1815">
        <f>'[4]int.bevételek RM I'!B13</f>
        <v>1040</v>
      </c>
      <c r="C13" s="1815">
        <f>'[4]int.bevételek RM III'!D13</f>
        <v>1242</v>
      </c>
      <c r="D13" s="1815">
        <v>1242</v>
      </c>
      <c r="E13" s="1816">
        <f t="shared" si="0"/>
        <v>1</v>
      </c>
      <c r="F13" s="1815">
        <f>'[4]int.bevételek RM I'!E13</f>
        <v>0</v>
      </c>
      <c r="G13" s="1815">
        <f>'[4]int.bevételek RM III'!G13</f>
        <v>31</v>
      </c>
      <c r="H13" s="1815">
        <v>30</v>
      </c>
      <c r="I13" s="1816">
        <f>H13/G13</f>
        <v>0.967741935483871</v>
      </c>
      <c r="J13" s="1815">
        <f>'[4]int.bevételek RM I'!H13</f>
        <v>0</v>
      </c>
      <c r="K13" s="1815">
        <f>'[4]int.bevételek RM III'!J13</f>
        <v>0</v>
      </c>
      <c r="L13" s="1815"/>
      <c r="M13" s="1816"/>
      <c r="N13" s="1815">
        <f>'[4]int.bevételek RM I'!K13</f>
        <v>0</v>
      </c>
      <c r="O13" s="1815">
        <f>'[4]int.bevételek RM III'!M13</f>
        <v>0</v>
      </c>
      <c r="P13" s="1815"/>
      <c r="Q13" s="1816"/>
      <c r="R13" s="1817">
        <f t="shared" si="10"/>
        <v>1040</v>
      </c>
      <c r="S13" s="1817">
        <f t="shared" si="10"/>
        <v>1273</v>
      </c>
      <c r="T13" s="1817">
        <f t="shared" si="10"/>
        <v>1272</v>
      </c>
      <c r="U13" s="1818">
        <f t="shared" si="1"/>
        <v>0.99921445404556164</v>
      </c>
      <c r="V13" s="1814" t="s">
        <v>1147</v>
      </c>
      <c r="W13" s="1815">
        <f>'[4]int.bevételek RM I'!R13</f>
        <v>0</v>
      </c>
      <c r="X13" s="1815">
        <f>'[4]int.bevételek RM III'!T13</f>
        <v>0</v>
      </c>
      <c r="Y13" s="1815"/>
      <c r="Z13" s="1816"/>
      <c r="AA13" s="1815">
        <f>'[4]int.bevételek RM I'!U13</f>
        <v>0</v>
      </c>
      <c r="AB13" s="1815">
        <f>'[4]int.bevételek RM III'!W13</f>
        <v>0</v>
      </c>
      <c r="AC13" s="1815"/>
      <c r="AD13" s="1816"/>
      <c r="AE13" s="1815">
        <f>'[4]int.bevételek RM I'!X13</f>
        <v>0</v>
      </c>
      <c r="AF13" s="1815">
        <f>'[4]int.bevételek RM III'!Z13</f>
        <v>0</v>
      </c>
      <c r="AG13" s="1815"/>
      <c r="AH13" s="1816"/>
      <c r="AI13" s="1817">
        <f t="shared" si="2"/>
        <v>0</v>
      </c>
      <c r="AJ13" s="1817">
        <f t="shared" si="2"/>
        <v>0</v>
      </c>
      <c r="AK13" s="1817">
        <f t="shared" si="2"/>
        <v>0</v>
      </c>
      <c r="AL13" s="1818"/>
      <c r="AM13" s="1815"/>
      <c r="AN13" s="1815">
        <f>'[4]int.bevételek RM III'!AJ13</f>
        <v>1065</v>
      </c>
      <c r="AO13" s="1815">
        <v>1065</v>
      </c>
      <c r="AP13" s="1816">
        <f t="shared" si="3"/>
        <v>1</v>
      </c>
      <c r="AQ13" s="1814" t="s">
        <v>1147</v>
      </c>
      <c r="AR13" s="1815">
        <f>'[4]int.bevételek RM I'!AK13</f>
        <v>197553</v>
      </c>
      <c r="AS13" s="1815">
        <f>'[4]int.bevételek RM III'!AM13</f>
        <v>201005</v>
      </c>
      <c r="AT13" s="1815">
        <v>195109</v>
      </c>
      <c r="AU13" s="1816">
        <f t="shared" si="4"/>
        <v>0.97066739633342458</v>
      </c>
      <c r="AV13" s="1815">
        <f>'[4]int.bevételek RM I'!AN13</f>
        <v>0</v>
      </c>
      <c r="AW13" s="1815">
        <f>'[4]int.bevételek RM III'!AP13</f>
        <v>0</v>
      </c>
      <c r="AX13" s="1815">
        <v>0</v>
      </c>
      <c r="AY13" s="1816"/>
      <c r="AZ13" s="1817">
        <f t="shared" si="6"/>
        <v>197553</v>
      </c>
      <c r="BA13" s="1817">
        <f t="shared" si="6"/>
        <v>201005</v>
      </c>
      <c r="BB13" s="1817">
        <f t="shared" si="6"/>
        <v>195109</v>
      </c>
      <c r="BC13" s="1818">
        <f t="shared" si="7"/>
        <v>0.97066739633342458</v>
      </c>
      <c r="BD13" s="1817">
        <f t="shared" si="8"/>
        <v>198593</v>
      </c>
      <c r="BE13" s="1817">
        <f t="shared" si="8"/>
        <v>203343</v>
      </c>
      <c r="BF13" s="1817">
        <f t="shared" si="8"/>
        <v>197446</v>
      </c>
      <c r="BG13" s="1818">
        <f t="shared" si="9"/>
        <v>0.97099973935665351</v>
      </c>
      <c r="BH13" s="886"/>
      <c r="BI13" s="886"/>
      <c r="BJ13" s="886"/>
      <c r="BK13" s="886"/>
      <c r="BL13" s="886"/>
      <c r="BM13" s="886"/>
    </row>
    <row r="14" spans="1:65" ht="57" customHeight="1" x14ac:dyDescent="0.75">
      <c r="A14" s="1814" t="s">
        <v>1148</v>
      </c>
      <c r="B14" s="1815">
        <f>'[4]int.bevételek RM I'!B14</f>
        <v>920</v>
      </c>
      <c r="C14" s="1815">
        <f>'[4]int.bevételek RM III'!D14</f>
        <v>1711</v>
      </c>
      <c r="D14" s="1815">
        <v>1709</v>
      </c>
      <c r="E14" s="1816">
        <f t="shared" si="0"/>
        <v>0.99883109292811223</v>
      </c>
      <c r="F14" s="1815">
        <f>'[4]int.bevételek RM I'!E14</f>
        <v>0</v>
      </c>
      <c r="G14" s="1815">
        <f>'[4]int.bevételek RM III'!G14</f>
        <v>120</v>
      </c>
      <c r="H14" s="1815">
        <v>120</v>
      </c>
      <c r="I14" s="1816">
        <f>H14/G14</f>
        <v>1</v>
      </c>
      <c r="J14" s="1815">
        <f>'[4]int.bevételek RM I'!H14</f>
        <v>0</v>
      </c>
      <c r="K14" s="1815">
        <f>'[4]int.bevételek RM III'!J14</f>
        <v>0</v>
      </c>
      <c r="L14" s="1815"/>
      <c r="M14" s="1816"/>
      <c r="N14" s="1815">
        <f>'[4]int.bevételek RM I'!K14</f>
        <v>0</v>
      </c>
      <c r="O14" s="1815">
        <f>'[4]int.bevételek RM III'!M14</f>
        <v>0</v>
      </c>
      <c r="P14" s="1815"/>
      <c r="Q14" s="1816"/>
      <c r="R14" s="1817">
        <f t="shared" si="10"/>
        <v>920</v>
      </c>
      <c r="S14" s="1817">
        <f t="shared" si="10"/>
        <v>1831</v>
      </c>
      <c r="T14" s="1817">
        <f t="shared" si="10"/>
        <v>1829</v>
      </c>
      <c r="U14" s="1818">
        <f t="shared" si="1"/>
        <v>0.99890770070999457</v>
      </c>
      <c r="V14" s="1814" t="s">
        <v>1148</v>
      </c>
      <c r="W14" s="1815">
        <f>'[4]int.bevételek RM I'!R14</f>
        <v>0</v>
      </c>
      <c r="X14" s="1815">
        <f>'[4]int.bevételek RM III'!T14</f>
        <v>0</v>
      </c>
      <c r="Y14" s="1815"/>
      <c r="Z14" s="1816"/>
      <c r="AA14" s="1815">
        <f>'[4]int.bevételek RM I'!U14</f>
        <v>0</v>
      </c>
      <c r="AB14" s="1815">
        <f>'[4]int.bevételek RM III'!W14</f>
        <v>0</v>
      </c>
      <c r="AC14" s="1815"/>
      <c r="AD14" s="1816"/>
      <c r="AE14" s="1815">
        <f>'[4]int.bevételek RM I'!X14</f>
        <v>0</v>
      </c>
      <c r="AF14" s="1815">
        <f>'[4]int.bevételek RM III'!Z14</f>
        <v>0</v>
      </c>
      <c r="AG14" s="1815"/>
      <c r="AH14" s="1816"/>
      <c r="AI14" s="1817">
        <f t="shared" si="2"/>
        <v>0</v>
      </c>
      <c r="AJ14" s="1817">
        <f t="shared" si="2"/>
        <v>0</v>
      </c>
      <c r="AK14" s="1817">
        <f t="shared" si="2"/>
        <v>0</v>
      </c>
      <c r="AL14" s="1818"/>
      <c r="AM14" s="1815"/>
      <c r="AN14" s="1815">
        <f>'[4]int.bevételek RM III'!AJ14</f>
        <v>3052</v>
      </c>
      <c r="AO14" s="1815">
        <v>3052</v>
      </c>
      <c r="AP14" s="1816">
        <f t="shared" si="3"/>
        <v>1</v>
      </c>
      <c r="AQ14" s="1814" t="s">
        <v>1148</v>
      </c>
      <c r="AR14" s="1815">
        <f>'[4]int.bevételek RM I'!AK14</f>
        <v>190823</v>
      </c>
      <c r="AS14" s="1815">
        <f>'[4]int.bevételek RM III'!AM14</f>
        <v>194416</v>
      </c>
      <c r="AT14" s="1815">
        <f>190908-1144</f>
        <v>189764</v>
      </c>
      <c r="AU14" s="1816">
        <f t="shared" si="4"/>
        <v>0.97607192823635913</v>
      </c>
      <c r="AV14" s="1815">
        <f>'[4]int.bevételek RM I'!AN14</f>
        <v>0</v>
      </c>
      <c r="AW14" s="1815">
        <f>'[4]int.bevételek RM III'!AP14</f>
        <v>1146</v>
      </c>
      <c r="AX14" s="1815">
        <v>1144</v>
      </c>
      <c r="AY14" s="1816">
        <f t="shared" si="5"/>
        <v>0.99825479930191974</v>
      </c>
      <c r="AZ14" s="1817">
        <f t="shared" si="6"/>
        <v>190823</v>
      </c>
      <c r="BA14" s="1817">
        <f t="shared" si="6"/>
        <v>195562</v>
      </c>
      <c r="BB14" s="1817">
        <f t="shared" si="6"/>
        <v>190908</v>
      </c>
      <c r="BC14" s="1818">
        <f t="shared" si="7"/>
        <v>0.97620192061852507</v>
      </c>
      <c r="BD14" s="1817">
        <f t="shared" si="8"/>
        <v>191743</v>
      </c>
      <c r="BE14" s="1817">
        <f t="shared" si="8"/>
        <v>200445</v>
      </c>
      <c r="BF14" s="1817">
        <f t="shared" si="8"/>
        <v>195789</v>
      </c>
      <c r="BG14" s="1818">
        <f t="shared" si="9"/>
        <v>0.97677168300531314</v>
      </c>
      <c r="BH14" s="886"/>
      <c r="BI14" s="886"/>
      <c r="BJ14" s="886"/>
      <c r="BK14" s="886"/>
      <c r="BL14" s="886"/>
      <c r="BM14" s="886"/>
    </row>
    <row r="15" spans="1:65" ht="57" customHeight="1" x14ac:dyDescent="0.75">
      <c r="A15" s="1814" t="s">
        <v>1149</v>
      </c>
      <c r="B15" s="1815">
        <f>'[4]int.bevételek RM I'!B15</f>
        <v>1392</v>
      </c>
      <c r="C15" s="1815">
        <f>'[4]int.bevételek RM III'!D15</f>
        <v>1876</v>
      </c>
      <c r="D15" s="1815">
        <v>1874</v>
      </c>
      <c r="E15" s="1816">
        <f t="shared" si="0"/>
        <v>0.99893390191897657</v>
      </c>
      <c r="F15" s="1815">
        <f>'[4]int.bevételek RM I'!E15</f>
        <v>0</v>
      </c>
      <c r="G15" s="1815">
        <f>'[4]int.bevételek RM III'!G15</f>
        <v>38</v>
      </c>
      <c r="H15" s="1815">
        <v>38</v>
      </c>
      <c r="I15" s="1816">
        <f>H15/G15</f>
        <v>1</v>
      </c>
      <c r="J15" s="1815">
        <f>'[4]int.bevételek RM I'!H15</f>
        <v>0</v>
      </c>
      <c r="K15" s="1815">
        <f>'[4]int.bevételek RM III'!J15</f>
        <v>1054</v>
      </c>
      <c r="L15" s="1815">
        <v>1053</v>
      </c>
      <c r="M15" s="1816">
        <f>L15/K15</f>
        <v>0.99905123339658441</v>
      </c>
      <c r="N15" s="1815">
        <f>'[4]int.bevételek RM I'!K15</f>
        <v>0</v>
      </c>
      <c r="O15" s="1815">
        <f>'[4]int.bevételek RM III'!M15</f>
        <v>0</v>
      </c>
      <c r="P15" s="1815"/>
      <c r="Q15" s="1816"/>
      <c r="R15" s="1817">
        <f t="shared" si="10"/>
        <v>1392</v>
      </c>
      <c r="S15" s="1817">
        <f t="shared" si="10"/>
        <v>2968</v>
      </c>
      <c r="T15" s="1817">
        <f t="shared" si="10"/>
        <v>2965</v>
      </c>
      <c r="U15" s="1818">
        <f t="shared" si="1"/>
        <v>0.99898921832884102</v>
      </c>
      <c r="V15" s="1814" t="s">
        <v>1149</v>
      </c>
      <c r="W15" s="1815">
        <f>'[4]int.bevételek RM I'!R15</f>
        <v>0</v>
      </c>
      <c r="X15" s="1815">
        <f>'[4]int.bevételek RM III'!T15</f>
        <v>0</v>
      </c>
      <c r="Y15" s="1815"/>
      <c r="Z15" s="1816"/>
      <c r="AA15" s="1815">
        <f>'[4]int.bevételek RM I'!U15</f>
        <v>0</v>
      </c>
      <c r="AB15" s="1815">
        <f>'[4]int.bevételek RM III'!W15</f>
        <v>0</v>
      </c>
      <c r="AC15" s="1815"/>
      <c r="AD15" s="1816"/>
      <c r="AE15" s="1815">
        <f>'[4]int.bevételek RM I'!X15</f>
        <v>0</v>
      </c>
      <c r="AF15" s="1815">
        <f>'[4]int.bevételek RM III'!Z15</f>
        <v>0</v>
      </c>
      <c r="AG15" s="1815"/>
      <c r="AH15" s="1816"/>
      <c r="AI15" s="1817">
        <f t="shared" si="2"/>
        <v>0</v>
      </c>
      <c r="AJ15" s="1817">
        <f t="shared" si="2"/>
        <v>0</v>
      </c>
      <c r="AK15" s="1817">
        <f t="shared" si="2"/>
        <v>0</v>
      </c>
      <c r="AL15" s="1818"/>
      <c r="AM15" s="1815"/>
      <c r="AN15" s="1815">
        <f>'[4]int.bevételek RM III'!AJ15</f>
        <v>938</v>
      </c>
      <c r="AO15" s="1815">
        <v>938</v>
      </c>
      <c r="AP15" s="1816">
        <f t="shared" si="3"/>
        <v>1</v>
      </c>
      <c r="AQ15" s="1814" t="s">
        <v>1149</v>
      </c>
      <c r="AR15" s="1815">
        <f>'[4]int.bevételek RM I'!AK15</f>
        <v>168592</v>
      </c>
      <c r="AS15" s="1815">
        <f>'[4]int.bevételek RM III'!AM15</f>
        <v>171813</v>
      </c>
      <c r="AT15" s="1815">
        <f>168614-3325</f>
        <v>165289</v>
      </c>
      <c r="AU15" s="1816">
        <f t="shared" si="4"/>
        <v>0.96202848445693867</v>
      </c>
      <c r="AV15" s="1815">
        <f>'[4]int.bevételek RM I'!AN15</f>
        <v>0</v>
      </c>
      <c r="AW15" s="1815">
        <f>'[4]int.bevételek RM III'!AP15</f>
        <v>3326</v>
      </c>
      <c r="AX15" s="1815">
        <v>3325</v>
      </c>
      <c r="AY15" s="1816">
        <f t="shared" si="5"/>
        <v>0.99969933854479853</v>
      </c>
      <c r="AZ15" s="1817">
        <f t="shared" si="6"/>
        <v>168592</v>
      </c>
      <c r="BA15" s="1817">
        <f t="shared" si="6"/>
        <v>175139</v>
      </c>
      <c r="BB15" s="1817">
        <f t="shared" si="6"/>
        <v>168614</v>
      </c>
      <c r="BC15" s="1818">
        <f t="shared" si="7"/>
        <v>0.96274387771998238</v>
      </c>
      <c r="BD15" s="1817">
        <f t="shared" si="8"/>
        <v>169984</v>
      </c>
      <c r="BE15" s="1817">
        <f t="shared" si="8"/>
        <v>179045</v>
      </c>
      <c r="BF15" s="1817">
        <f t="shared" si="8"/>
        <v>172517</v>
      </c>
      <c r="BG15" s="1818">
        <f t="shared" si="9"/>
        <v>0.96353989220587</v>
      </c>
      <c r="BH15" s="886"/>
      <c r="BI15" s="886"/>
      <c r="BJ15" s="886"/>
      <c r="BK15" s="886"/>
      <c r="BL15" s="886"/>
      <c r="BM15" s="886"/>
    </row>
    <row r="16" spans="1:65" ht="57" customHeight="1" x14ac:dyDescent="0.75">
      <c r="A16" s="1814" t="s">
        <v>1150</v>
      </c>
      <c r="B16" s="1815">
        <f>'[4]int.bevételek RM I'!B16</f>
        <v>1040</v>
      </c>
      <c r="C16" s="1815">
        <f>'[4]int.bevételek RM III'!D16</f>
        <v>2443</v>
      </c>
      <c r="D16" s="1815">
        <v>2443</v>
      </c>
      <c r="E16" s="1816">
        <f t="shared" si="0"/>
        <v>1</v>
      </c>
      <c r="F16" s="1815">
        <f>'[4]int.bevételek RM I'!E16</f>
        <v>0</v>
      </c>
      <c r="G16" s="1815">
        <f>'[4]int.bevételek RM III'!G16</f>
        <v>0</v>
      </c>
      <c r="H16" s="1815"/>
      <c r="I16" s="1816"/>
      <c r="J16" s="1815">
        <f>'[4]int.bevételek RM I'!H16</f>
        <v>0</v>
      </c>
      <c r="K16" s="1815">
        <f>'[4]int.bevételek RM III'!J16</f>
        <v>0</v>
      </c>
      <c r="L16" s="1815"/>
      <c r="M16" s="1816"/>
      <c r="N16" s="1815">
        <f>'[4]int.bevételek RM I'!K16</f>
        <v>0</v>
      </c>
      <c r="O16" s="1815">
        <f>'[4]int.bevételek RM III'!M16</f>
        <v>0</v>
      </c>
      <c r="P16" s="1815"/>
      <c r="Q16" s="1816"/>
      <c r="R16" s="1817">
        <f t="shared" si="10"/>
        <v>1040</v>
      </c>
      <c r="S16" s="1817">
        <f t="shared" si="10"/>
        <v>2443</v>
      </c>
      <c r="T16" s="1817">
        <f t="shared" si="10"/>
        <v>2443</v>
      </c>
      <c r="U16" s="1818">
        <f t="shared" si="1"/>
        <v>1</v>
      </c>
      <c r="V16" s="1814" t="s">
        <v>1150</v>
      </c>
      <c r="W16" s="1815">
        <f>'[4]int.bevételek RM I'!R16</f>
        <v>0</v>
      </c>
      <c r="X16" s="1815">
        <f>'[4]int.bevételek RM III'!T16</f>
        <v>0</v>
      </c>
      <c r="Y16" s="1815"/>
      <c r="Z16" s="1816"/>
      <c r="AA16" s="1815">
        <f>'[4]int.bevételek RM I'!U16</f>
        <v>0</v>
      </c>
      <c r="AB16" s="1815">
        <f>'[4]int.bevételek RM III'!W16</f>
        <v>0</v>
      </c>
      <c r="AC16" s="1815"/>
      <c r="AD16" s="1816"/>
      <c r="AE16" s="1815">
        <f>'[4]int.bevételek RM I'!X16</f>
        <v>0</v>
      </c>
      <c r="AF16" s="1815">
        <f>'[4]int.bevételek RM III'!Z16</f>
        <v>0</v>
      </c>
      <c r="AG16" s="1815"/>
      <c r="AH16" s="1816"/>
      <c r="AI16" s="1817">
        <f t="shared" si="2"/>
        <v>0</v>
      </c>
      <c r="AJ16" s="1817">
        <f t="shared" si="2"/>
        <v>0</v>
      </c>
      <c r="AK16" s="1817">
        <f t="shared" si="2"/>
        <v>0</v>
      </c>
      <c r="AL16" s="1818"/>
      <c r="AM16" s="1815"/>
      <c r="AN16" s="1815">
        <f>'[4]int.bevételek RM III'!AJ16</f>
        <v>644</v>
      </c>
      <c r="AO16" s="1815">
        <v>644</v>
      </c>
      <c r="AP16" s="1816">
        <f t="shared" si="3"/>
        <v>1</v>
      </c>
      <c r="AQ16" s="1814" t="s">
        <v>1150</v>
      </c>
      <c r="AR16" s="1815">
        <f>'[4]int.bevételek RM I'!AK16</f>
        <v>133002</v>
      </c>
      <c r="AS16" s="1815">
        <f>'[4]int.bevételek RM III'!AM16</f>
        <v>137165</v>
      </c>
      <c r="AT16" s="1815">
        <f>135120-203</f>
        <v>134917</v>
      </c>
      <c r="AU16" s="1816">
        <f t="shared" si="4"/>
        <v>0.98361097947727194</v>
      </c>
      <c r="AV16" s="1815">
        <f>'[4]int.bevételek RM I'!AN16</f>
        <v>0</v>
      </c>
      <c r="AW16" s="1815">
        <f>'[4]int.bevételek RM III'!AP16</f>
        <v>204</v>
      </c>
      <c r="AX16" s="1815">
        <v>203</v>
      </c>
      <c r="AY16" s="1816">
        <f t="shared" si="5"/>
        <v>0.99509803921568629</v>
      </c>
      <c r="AZ16" s="1817">
        <f t="shared" si="6"/>
        <v>133002</v>
      </c>
      <c r="BA16" s="1817">
        <f t="shared" si="6"/>
        <v>137369</v>
      </c>
      <c r="BB16" s="1817">
        <f t="shared" si="6"/>
        <v>135120</v>
      </c>
      <c r="BC16" s="1818">
        <f t="shared" si="7"/>
        <v>0.98362803834926371</v>
      </c>
      <c r="BD16" s="1817">
        <f t="shared" si="8"/>
        <v>134042</v>
      </c>
      <c r="BE16" s="1817">
        <f t="shared" si="8"/>
        <v>140456</v>
      </c>
      <c r="BF16" s="1817">
        <f t="shared" si="8"/>
        <v>138207</v>
      </c>
      <c r="BG16" s="1818">
        <f t="shared" si="9"/>
        <v>0.98398786808680294</v>
      </c>
      <c r="BH16" s="886"/>
      <c r="BI16" s="886"/>
      <c r="BJ16" s="886"/>
      <c r="BK16" s="886"/>
      <c r="BL16" s="886"/>
      <c r="BM16" s="886"/>
    </row>
    <row r="17" spans="1:65" ht="57" customHeight="1" x14ac:dyDescent="0.75">
      <c r="A17" s="1814" t="s">
        <v>1151</v>
      </c>
      <c r="B17" s="1815">
        <f>'[4]int.bevételek RM I'!B17</f>
        <v>960</v>
      </c>
      <c r="C17" s="1815">
        <f>'[4]int.bevételek RM III'!D17</f>
        <v>2240</v>
      </c>
      <c r="D17" s="1815">
        <v>2239</v>
      </c>
      <c r="E17" s="1816">
        <f t="shared" si="0"/>
        <v>0.99955357142857137</v>
      </c>
      <c r="F17" s="1815">
        <f>'[4]int.bevételek RM I'!E17</f>
        <v>0</v>
      </c>
      <c r="G17" s="1815">
        <f>'[4]int.bevételek RM III'!G17</f>
        <v>0</v>
      </c>
      <c r="H17" s="1815"/>
      <c r="I17" s="1816"/>
      <c r="J17" s="1815">
        <f>'[4]int.bevételek RM I'!H17</f>
        <v>0</v>
      </c>
      <c r="K17" s="1815">
        <f>'[4]int.bevételek RM III'!J17</f>
        <v>0</v>
      </c>
      <c r="L17" s="1815"/>
      <c r="M17" s="1816"/>
      <c r="N17" s="1815">
        <f>'[4]int.bevételek RM I'!K17</f>
        <v>0</v>
      </c>
      <c r="O17" s="1815">
        <f>'[4]int.bevételek RM III'!M17</f>
        <v>0</v>
      </c>
      <c r="P17" s="1815"/>
      <c r="Q17" s="1816"/>
      <c r="R17" s="1817">
        <f t="shared" si="10"/>
        <v>960</v>
      </c>
      <c r="S17" s="1817">
        <f t="shared" si="10"/>
        <v>2240</v>
      </c>
      <c r="T17" s="1817">
        <f t="shared" si="10"/>
        <v>2239</v>
      </c>
      <c r="U17" s="1818">
        <f t="shared" si="1"/>
        <v>0.99955357142857137</v>
      </c>
      <c r="V17" s="1814" t="s">
        <v>1151</v>
      </c>
      <c r="W17" s="1815">
        <f>'[4]int.bevételek RM I'!R17</f>
        <v>0</v>
      </c>
      <c r="X17" s="1815">
        <f>'[4]int.bevételek RM III'!T17</f>
        <v>0</v>
      </c>
      <c r="Y17" s="1815"/>
      <c r="Z17" s="1816"/>
      <c r="AA17" s="1815">
        <f>'[4]int.bevételek RM I'!U17</f>
        <v>0</v>
      </c>
      <c r="AB17" s="1815">
        <f>'[4]int.bevételek RM III'!W17</f>
        <v>0</v>
      </c>
      <c r="AC17" s="1815"/>
      <c r="AD17" s="1816"/>
      <c r="AE17" s="1815">
        <f>'[4]int.bevételek RM I'!X17</f>
        <v>0</v>
      </c>
      <c r="AF17" s="1815">
        <f>'[4]int.bevételek RM III'!Z17</f>
        <v>0</v>
      </c>
      <c r="AG17" s="1815"/>
      <c r="AH17" s="1816"/>
      <c r="AI17" s="1817">
        <f t="shared" si="2"/>
        <v>0</v>
      </c>
      <c r="AJ17" s="1817">
        <f t="shared" si="2"/>
        <v>0</v>
      </c>
      <c r="AK17" s="1817">
        <f t="shared" si="2"/>
        <v>0</v>
      </c>
      <c r="AL17" s="1818"/>
      <c r="AM17" s="1815"/>
      <c r="AN17" s="1815">
        <f>'[4]int.bevételek RM III'!AJ17</f>
        <v>573</v>
      </c>
      <c r="AO17" s="1815">
        <v>573</v>
      </c>
      <c r="AP17" s="1816">
        <f t="shared" si="3"/>
        <v>1</v>
      </c>
      <c r="AQ17" s="1814" t="s">
        <v>1151</v>
      </c>
      <c r="AR17" s="1815">
        <f>'[4]int.bevételek RM I'!AK17</f>
        <v>141857</v>
      </c>
      <c r="AS17" s="1815">
        <f>'[4]int.bevételek RM III'!AM17</f>
        <v>146169</v>
      </c>
      <c r="AT17" s="1815">
        <f>137766-433</f>
        <v>137333</v>
      </c>
      <c r="AU17" s="1816">
        <f t="shared" si="4"/>
        <v>0.9395494256648127</v>
      </c>
      <c r="AV17" s="1815">
        <f>'[4]int.bevételek RM I'!AN17</f>
        <v>0</v>
      </c>
      <c r="AW17" s="1815">
        <f>'[4]int.bevételek RM III'!AP17</f>
        <v>3259</v>
      </c>
      <c r="AX17" s="1815">
        <v>433</v>
      </c>
      <c r="AY17" s="1816">
        <f t="shared" si="5"/>
        <v>0.13286284136238111</v>
      </c>
      <c r="AZ17" s="1817">
        <f t="shared" si="6"/>
        <v>141857</v>
      </c>
      <c r="BA17" s="1817">
        <f t="shared" si="6"/>
        <v>149428</v>
      </c>
      <c r="BB17" s="1817">
        <f t="shared" si="6"/>
        <v>137766</v>
      </c>
      <c r="BC17" s="1818">
        <f t="shared" si="7"/>
        <v>0.92195572449607843</v>
      </c>
      <c r="BD17" s="1817">
        <f t="shared" si="8"/>
        <v>142817</v>
      </c>
      <c r="BE17" s="1817">
        <f t="shared" si="8"/>
        <v>152241</v>
      </c>
      <c r="BF17" s="1817">
        <f t="shared" si="8"/>
        <v>140578</v>
      </c>
      <c r="BG17" s="1818">
        <f t="shared" si="9"/>
        <v>0.92339120210718528</v>
      </c>
      <c r="BH17" s="886"/>
      <c r="BI17" s="886"/>
      <c r="BJ17" s="886"/>
      <c r="BK17" s="886"/>
      <c r="BL17" s="886"/>
      <c r="BM17" s="886"/>
    </row>
    <row r="18" spans="1:65" ht="57" customHeight="1" x14ac:dyDescent="0.75">
      <c r="A18" s="1814" t="s">
        <v>1152</v>
      </c>
      <c r="B18" s="1815">
        <f>'[4]int.bevételek RM I'!B18</f>
        <v>1180</v>
      </c>
      <c r="C18" s="1815">
        <f>'[4]int.bevételek RM III'!D18</f>
        <v>772</v>
      </c>
      <c r="D18" s="1815">
        <v>771</v>
      </c>
      <c r="E18" s="1816">
        <f t="shared" si="0"/>
        <v>0.99870466321243523</v>
      </c>
      <c r="F18" s="1815">
        <f>'[4]int.bevételek RM I'!E18</f>
        <v>0</v>
      </c>
      <c r="G18" s="1815">
        <f>'[4]int.bevételek RM III'!G18</f>
        <v>21</v>
      </c>
      <c r="H18" s="1815">
        <v>20</v>
      </c>
      <c r="I18" s="1816">
        <f>H18/G18</f>
        <v>0.95238095238095233</v>
      </c>
      <c r="J18" s="1815">
        <f>'[4]int.bevételek RM I'!H18</f>
        <v>0</v>
      </c>
      <c r="K18" s="1815">
        <f>'[4]int.bevételek RM III'!J18</f>
        <v>0</v>
      </c>
      <c r="L18" s="1815"/>
      <c r="M18" s="1816"/>
      <c r="N18" s="1815">
        <f>'[4]int.bevételek RM I'!K18</f>
        <v>0</v>
      </c>
      <c r="O18" s="1815">
        <f>'[4]int.bevételek RM III'!M18</f>
        <v>0</v>
      </c>
      <c r="P18" s="1815"/>
      <c r="Q18" s="1816"/>
      <c r="R18" s="1817">
        <f t="shared" si="10"/>
        <v>1180</v>
      </c>
      <c r="S18" s="1817">
        <f t="shared" si="10"/>
        <v>793</v>
      </c>
      <c r="T18" s="1817">
        <f t="shared" si="10"/>
        <v>791</v>
      </c>
      <c r="U18" s="1818">
        <f t="shared" si="1"/>
        <v>0.99747793190416145</v>
      </c>
      <c r="V18" s="1814" t="s">
        <v>1152</v>
      </c>
      <c r="W18" s="1815">
        <f>'[4]int.bevételek RM I'!R18</f>
        <v>0</v>
      </c>
      <c r="X18" s="1815">
        <f>'[4]int.bevételek RM III'!T18</f>
        <v>0</v>
      </c>
      <c r="Y18" s="1815"/>
      <c r="Z18" s="1816"/>
      <c r="AA18" s="1815">
        <f>'[4]int.bevételek RM I'!U18</f>
        <v>0</v>
      </c>
      <c r="AB18" s="1815">
        <f>'[4]int.bevételek RM III'!W18</f>
        <v>0</v>
      </c>
      <c r="AC18" s="1815"/>
      <c r="AD18" s="1816"/>
      <c r="AE18" s="1815">
        <f>'[4]int.bevételek RM I'!X18</f>
        <v>0</v>
      </c>
      <c r="AF18" s="1815">
        <f>'[4]int.bevételek RM III'!Z18</f>
        <v>0</v>
      </c>
      <c r="AG18" s="1815"/>
      <c r="AH18" s="1816"/>
      <c r="AI18" s="1817">
        <f t="shared" si="2"/>
        <v>0</v>
      </c>
      <c r="AJ18" s="1817">
        <f t="shared" si="2"/>
        <v>0</v>
      </c>
      <c r="AK18" s="1817">
        <f t="shared" si="2"/>
        <v>0</v>
      </c>
      <c r="AL18" s="1818"/>
      <c r="AM18" s="1815"/>
      <c r="AN18" s="1815">
        <f>'[4]int.bevételek RM III'!AJ18</f>
        <v>781</v>
      </c>
      <c r="AO18" s="1815">
        <v>780</v>
      </c>
      <c r="AP18" s="1816">
        <f t="shared" si="3"/>
        <v>0.99871959026888601</v>
      </c>
      <c r="AQ18" s="1814" t="s">
        <v>1152</v>
      </c>
      <c r="AR18" s="1815">
        <f>'[4]int.bevételek RM I'!AK18</f>
        <v>187073</v>
      </c>
      <c r="AS18" s="1815">
        <f>'[4]int.bevételek RM III'!AM18</f>
        <v>193306</v>
      </c>
      <c r="AT18" s="1815">
        <f>189600-2597</f>
        <v>187003</v>
      </c>
      <c r="AU18" s="1816">
        <f t="shared" si="4"/>
        <v>0.96739366600105536</v>
      </c>
      <c r="AV18" s="1815">
        <f>'[4]int.bevételek RM I'!AN18</f>
        <v>0</v>
      </c>
      <c r="AW18" s="1815">
        <f>'[4]int.bevételek RM III'!AP18</f>
        <v>3462</v>
      </c>
      <c r="AX18" s="1815">
        <v>2597</v>
      </c>
      <c r="AY18" s="1816">
        <f t="shared" si="5"/>
        <v>0.75014442518775271</v>
      </c>
      <c r="AZ18" s="1817">
        <f t="shared" si="6"/>
        <v>187073</v>
      </c>
      <c r="BA18" s="1817">
        <f t="shared" si="6"/>
        <v>196768</v>
      </c>
      <c r="BB18" s="1817">
        <f t="shared" si="6"/>
        <v>189600</v>
      </c>
      <c r="BC18" s="1818">
        <f t="shared" si="7"/>
        <v>0.96357131240852167</v>
      </c>
      <c r="BD18" s="1817">
        <f t="shared" si="8"/>
        <v>188253</v>
      </c>
      <c r="BE18" s="1817">
        <f t="shared" si="8"/>
        <v>198342</v>
      </c>
      <c r="BF18" s="1817">
        <f t="shared" si="8"/>
        <v>191171</v>
      </c>
      <c r="BG18" s="1818">
        <f t="shared" si="9"/>
        <v>0.96384527734922509</v>
      </c>
      <c r="BH18" s="886"/>
      <c r="BI18" s="886"/>
      <c r="BJ18" s="886"/>
      <c r="BK18" s="886"/>
      <c r="BL18" s="886"/>
      <c r="BM18" s="886"/>
    </row>
    <row r="19" spans="1:65" ht="57" customHeight="1" x14ac:dyDescent="0.75">
      <c r="A19" s="1814" t="s">
        <v>1153</v>
      </c>
      <c r="B19" s="1815">
        <f>'[4]int.bevételek RM I'!B19</f>
        <v>1480</v>
      </c>
      <c r="C19" s="1815">
        <f>'[4]int.bevételek RM III'!D19</f>
        <v>4577</v>
      </c>
      <c r="D19" s="1815">
        <v>4575</v>
      </c>
      <c r="E19" s="1816">
        <f t="shared" si="0"/>
        <v>0.99956303255407475</v>
      </c>
      <c r="F19" s="1815">
        <f>'[4]int.bevételek RM I'!E19</f>
        <v>0</v>
      </c>
      <c r="G19" s="1815">
        <f>'[4]int.bevételek RM III'!G19</f>
        <v>27</v>
      </c>
      <c r="H19" s="1815">
        <v>27</v>
      </c>
      <c r="I19" s="1816">
        <f>H19/G19</f>
        <v>1</v>
      </c>
      <c r="J19" s="1815">
        <f>'[4]int.bevételek RM I'!H19</f>
        <v>0</v>
      </c>
      <c r="K19" s="1815">
        <f>'[4]int.bevételek RM III'!J19</f>
        <v>0</v>
      </c>
      <c r="L19" s="1815"/>
      <c r="M19" s="1816"/>
      <c r="N19" s="1815">
        <f>'[4]int.bevételek RM I'!K19</f>
        <v>0</v>
      </c>
      <c r="O19" s="1815">
        <f>'[4]int.bevételek RM III'!M19</f>
        <v>0</v>
      </c>
      <c r="P19" s="1815"/>
      <c r="Q19" s="1816"/>
      <c r="R19" s="1817">
        <f t="shared" si="10"/>
        <v>1480</v>
      </c>
      <c r="S19" s="1817">
        <f t="shared" si="10"/>
        <v>4604</v>
      </c>
      <c r="T19" s="1817">
        <f t="shared" si="10"/>
        <v>4602</v>
      </c>
      <c r="U19" s="1818">
        <f t="shared" si="1"/>
        <v>0.99956559513466547</v>
      </c>
      <c r="V19" s="1814" t="s">
        <v>1153</v>
      </c>
      <c r="W19" s="1815">
        <f>'[4]int.bevételek RM I'!R19</f>
        <v>0</v>
      </c>
      <c r="X19" s="1815">
        <f>'[4]int.bevételek RM III'!T19</f>
        <v>0</v>
      </c>
      <c r="Y19" s="1815"/>
      <c r="Z19" s="1816"/>
      <c r="AA19" s="1815">
        <f>'[4]int.bevételek RM I'!U19</f>
        <v>0</v>
      </c>
      <c r="AB19" s="1815">
        <f>'[4]int.bevételek RM III'!W19</f>
        <v>0</v>
      </c>
      <c r="AC19" s="1815"/>
      <c r="AD19" s="1816"/>
      <c r="AE19" s="1815">
        <f>'[4]int.bevételek RM I'!X19</f>
        <v>0</v>
      </c>
      <c r="AF19" s="1815">
        <f>'[4]int.bevételek RM III'!Z19</f>
        <v>0</v>
      </c>
      <c r="AG19" s="1815"/>
      <c r="AH19" s="1816"/>
      <c r="AI19" s="1817">
        <f t="shared" si="2"/>
        <v>0</v>
      </c>
      <c r="AJ19" s="1817">
        <f t="shared" si="2"/>
        <v>0</v>
      </c>
      <c r="AK19" s="1817">
        <f t="shared" si="2"/>
        <v>0</v>
      </c>
      <c r="AL19" s="1818"/>
      <c r="AM19" s="1815"/>
      <c r="AN19" s="1815">
        <f>'[4]int.bevételek RM III'!AJ19</f>
        <v>3197</v>
      </c>
      <c r="AO19" s="1815">
        <v>3197</v>
      </c>
      <c r="AP19" s="1816">
        <f t="shared" si="3"/>
        <v>1</v>
      </c>
      <c r="AQ19" s="1814" t="s">
        <v>1153</v>
      </c>
      <c r="AR19" s="1815">
        <f>'[4]int.bevételek RM I'!AK19</f>
        <v>230200</v>
      </c>
      <c r="AS19" s="1815">
        <f>'[4]int.bevételek RM III'!AM19</f>
        <v>243057</v>
      </c>
      <c r="AT19" s="1815">
        <f>237460-1283</f>
        <v>236177</v>
      </c>
      <c r="AU19" s="1816">
        <f t="shared" si="4"/>
        <v>0.97169388250492683</v>
      </c>
      <c r="AV19" s="1815">
        <f>'[4]int.bevételek RM I'!AN19</f>
        <v>0</v>
      </c>
      <c r="AW19" s="1815">
        <f>'[4]int.bevételek RM III'!AP19</f>
        <v>1283</v>
      </c>
      <c r="AX19" s="1815">
        <v>1283</v>
      </c>
      <c r="AY19" s="1816">
        <f t="shared" si="5"/>
        <v>1</v>
      </c>
      <c r="AZ19" s="1817">
        <f t="shared" si="6"/>
        <v>230200</v>
      </c>
      <c r="BA19" s="1817">
        <f t="shared" si="6"/>
        <v>244340</v>
      </c>
      <c r="BB19" s="1817">
        <f t="shared" si="6"/>
        <v>237460</v>
      </c>
      <c r="BC19" s="1818">
        <f t="shared" si="7"/>
        <v>0.97184251452893511</v>
      </c>
      <c r="BD19" s="1817">
        <f t="shared" si="8"/>
        <v>231680</v>
      </c>
      <c r="BE19" s="1817">
        <f t="shared" si="8"/>
        <v>252141</v>
      </c>
      <c r="BF19" s="1817">
        <f t="shared" si="8"/>
        <v>245259</v>
      </c>
      <c r="BG19" s="1818">
        <f t="shared" si="9"/>
        <v>0.97270574797434772</v>
      </c>
      <c r="BH19" s="886"/>
      <c r="BI19" s="886"/>
      <c r="BJ19" s="886"/>
      <c r="BK19" s="886"/>
      <c r="BL19" s="886"/>
      <c r="BM19" s="886"/>
    </row>
    <row r="20" spans="1:65" ht="57" customHeight="1" x14ac:dyDescent="0.75">
      <c r="A20" s="1814" t="s">
        <v>1154</v>
      </c>
      <c r="B20" s="1815">
        <f>'[4]int.bevételek RM I'!B20</f>
        <v>480</v>
      </c>
      <c r="C20" s="1815">
        <f>'[4]int.bevételek RM III'!D20</f>
        <v>887</v>
      </c>
      <c r="D20" s="1815">
        <v>886</v>
      </c>
      <c r="E20" s="1816">
        <f t="shared" si="0"/>
        <v>0.99887260428410374</v>
      </c>
      <c r="F20" s="1815">
        <f>'[4]int.bevételek RM I'!E20</f>
        <v>0</v>
      </c>
      <c r="G20" s="1815">
        <f>'[4]int.bevételek RM III'!G20</f>
        <v>0</v>
      </c>
      <c r="H20" s="1815"/>
      <c r="I20" s="1816"/>
      <c r="J20" s="1815">
        <f>'[4]int.bevételek RM I'!H20</f>
        <v>0</v>
      </c>
      <c r="K20" s="1815">
        <f>'[4]int.bevételek RM III'!J20</f>
        <v>0</v>
      </c>
      <c r="L20" s="1815"/>
      <c r="M20" s="1816"/>
      <c r="N20" s="1815">
        <f>'[4]int.bevételek RM I'!K20</f>
        <v>0</v>
      </c>
      <c r="O20" s="1815">
        <f>'[4]int.bevételek RM III'!M20</f>
        <v>0</v>
      </c>
      <c r="P20" s="1815"/>
      <c r="Q20" s="1816"/>
      <c r="R20" s="1817">
        <f t="shared" si="10"/>
        <v>480</v>
      </c>
      <c r="S20" s="1817">
        <f t="shared" si="10"/>
        <v>887</v>
      </c>
      <c r="T20" s="1817">
        <f t="shared" si="10"/>
        <v>886</v>
      </c>
      <c r="U20" s="1818">
        <f t="shared" si="1"/>
        <v>0.99887260428410374</v>
      </c>
      <c r="V20" s="1814" t="s">
        <v>1154</v>
      </c>
      <c r="W20" s="1815">
        <f>'[4]int.bevételek RM I'!R20</f>
        <v>0</v>
      </c>
      <c r="X20" s="1815">
        <f>'[4]int.bevételek RM III'!T20</f>
        <v>0</v>
      </c>
      <c r="Y20" s="1815"/>
      <c r="Z20" s="1816"/>
      <c r="AA20" s="1815">
        <f>'[4]int.bevételek RM I'!U20</f>
        <v>0</v>
      </c>
      <c r="AB20" s="1815">
        <f>'[4]int.bevételek RM III'!W20</f>
        <v>0</v>
      </c>
      <c r="AC20" s="1815"/>
      <c r="AD20" s="1816"/>
      <c r="AE20" s="1815">
        <f>'[4]int.bevételek RM I'!X20</f>
        <v>0</v>
      </c>
      <c r="AF20" s="1815">
        <f>'[4]int.bevételek RM III'!Z20</f>
        <v>0</v>
      </c>
      <c r="AG20" s="1815"/>
      <c r="AH20" s="1816"/>
      <c r="AI20" s="1817">
        <f t="shared" si="2"/>
        <v>0</v>
      </c>
      <c r="AJ20" s="1817">
        <f t="shared" si="2"/>
        <v>0</v>
      </c>
      <c r="AK20" s="1817">
        <f t="shared" si="2"/>
        <v>0</v>
      </c>
      <c r="AL20" s="1818"/>
      <c r="AM20" s="1815"/>
      <c r="AN20" s="1815">
        <f>'[4]int.bevételek RM III'!AJ20</f>
        <v>455</v>
      </c>
      <c r="AO20" s="1815">
        <v>455</v>
      </c>
      <c r="AP20" s="1816">
        <f t="shared" si="3"/>
        <v>1</v>
      </c>
      <c r="AQ20" s="1814" t="s">
        <v>1154</v>
      </c>
      <c r="AR20" s="1815">
        <f>'[4]int.bevételek RM I'!AK20</f>
        <v>114825</v>
      </c>
      <c r="AS20" s="1815">
        <f>'[4]int.bevételek RM III'!AM20</f>
        <v>118184</v>
      </c>
      <c r="AT20" s="1815">
        <f>119722-3299</f>
        <v>116423</v>
      </c>
      <c r="AU20" s="1816">
        <f t="shared" si="4"/>
        <v>0.9850995058552765</v>
      </c>
      <c r="AV20" s="1815">
        <f>'[4]int.bevételek RM I'!AN20</f>
        <v>0</v>
      </c>
      <c r="AW20" s="1815">
        <f>'[4]int.bevételek RM III'!AP20</f>
        <v>3300</v>
      </c>
      <c r="AX20" s="1815">
        <v>3299</v>
      </c>
      <c r="AY20" s="1816">
        <f t="shared" si="5"/>
        <v>0.99969696969696975</v>
      </c>
      <c r="AZ20" s="1817">
        <f t="shared" si="6"/>
        <v>114825</v>
      </c>
      <c r="BA20" s="1817">
        <f t="shared" si="6"/>
        <v>121484</v>
      </c>
      <c r="BB20" s="1817">
        <f t="shared" si="6"/>
        <v>119722</v>
      </c>
      <c r="BC20" s="1818">
        <f t="shared" si="7"/>
        <v>0.98549603239932826</v>
      </c>
      <c r="BD20" s="1817">
        <f t="shared" si="8"/>
        <v>115305</v>
      </c>
      <c r="BE20" s="1817">
        <f t="shared" si="8"/>
        <v>122826</v>
      </c>
      <c r="BF20" s="1817">
        <f t="shared" si="8"/>
        <v>121063</v>
      </c>
      <c r="BG20" s="1818">
        <f t="shared" si="9"/>
        <v>0.98564636151954799</v>
      </c>
      <c r="BH20" s="886"/>
      <c r="BI20" s="886"/>
      <c r="BJ20" s="886"/>
      <c r="BK20" s="886"/>
      <c r="BL20" s="886"/>
      <c r="BM20" s="886"/>
    </row>
    <row r="21" spans="1:65" ht="57" customHeight="1" x14ac:dyDescent="0.75">
      <c r="A21" s="1814" t="s">
        <v>1155</v>
      </c>
      <c r="B21" s="1815">
        <f>'[4]int.bevételek RM I'!B21</f>
        <v>1070</v>
      </c>
      <c r="C21" s="1815">
        <f>'[4]int.bevételek RM III'!D21</f>
        <v>1270</v>
      </c>
      <c r="D21" s="1815">
        <f>1269+1</f>
        <v>1270</v>
      </c>
      <c r="E21" s="1816">
        <f t="shared" si="0"/>
        <v>1</v>
      </c>
      <c r="F21" s="1815">
        <f>'[4]int.bevételek RM I'!E21</f>
        <v>0</v>
      </c>
      <c r="G21" s="1815">
        <f>'[4]int.bevételek RM III'!G21</f>
        <v>0</v>
      </c>
      <c r="H21" s="1815"/>
      <c r="I21" s="1816"/>
      <c r="J21" s="1815">
        <f>'[4]int.bevételek RM I'!H21</f>
        <v>0</v>
      </c>
      <c r="K21" s="1815">
        <f>'[4]int.bevételek RM III'!J21</f>
        <v>0</v>
      </c>
      <c r="L21" s="1815"/>
      <c r="M21" s="1816"/>
      <c r="N21" s="1815">
        <f>'[4]int.bevételek RM I'!K21</f>
        <v>0</v>
      </c>
      <c r="O21" s="1815">
        <f>'[4]int.bevételek RM III'!M21</f>
        <v>0</v>
      </c>
      <c r="P21" s="1815"/>
      <c r="Q21" s="1816"/>
      <c r="R21" s="1817">
        <f t="shared" si="10"/>
        <v>1070</v>
      </c>
      <c r="S21" s="1817">
        <f t="shared" si="10"/>
        <v>1270</v>
      </c>
      <c r="T21" s="1817">
        <f t="shared" si="10"/>
        <v>1270</v>
      </c>
      <c r="U21" s="1818">
        <f t="shared" si="1"/>
        <v>1</v>
      </c>
      <c r="V21" s="1814" t="s">
        <v>1155</v>
      </c>
      <c r="W21" s="1815">
        <f>'[4]int.bevételek RM I'!R21</f>
        <v>0</v>
      </c>
      <c r="X21" s="1815">
        <f>'[4]int.bevételek RM III'!T21</f>
        <v>0</v>
      </c>
      <c r="Y21" s="1815"/>
      <c r="Z21" s="1816"/>
      <c r="AA21" s="1815">
        <f>'[4]int.bevételek RM I'!U21</f>
        <v>0</v>
      </c>
      <c r="AB21" s="1815">
        <f>'[4]int.bevételek RM III'!W21</f>
        <v>0</v>
      </c>
      <c r="AC21" s="1815"/>
      <c r="AD21" s="1816"/>
      <c r="AE21" s="1815">
        <f>'[4]int.bevételek RM I'!X21</f>
        <v>0</v>
      </c>
      <c r="AF21" s="1815">
        <f>'[4]int.bevételek RM III'!Z21</f>
        <v>0</v>
      </c>
      <c r="AG21" s="1815"/>
      <c r="AH21" s="1816"/>
      <c r="AI21" s="1817">
        <f t="shared" si="2"/>
        <v>0</v>
      </c>
      <c r="AJ21" s="1817">
        <f t="shared" si="2"/>
        <v>0</v>
      </c>
      <c r="AK21" s="1817">
        <f t="shared" si="2"/>
        <v>0</v>
      </c>
      <c r="AL21" s="1818"/>
      <c r="AM21" s="1815"/>
      <c r="AN21" s="1815">
        <f>'[4]int.bevételek RM III'!AJ21</f>
        <v>1145</v>
      </c>
      <c r="AO21" s="1815">
        <v>1145</v>
      </c>
      <c r="AP21" s="1816">
        <f t="shared" si="3"/>
        <v>1</v>
      </c>
      <c r="AQ21" s="1814" t="s">
        <v>1155</v>
      </c>
      <c r="AR21" s="1815">
        <f>'[4]int.bevételek RM I'!AK21</f>
        <v>112861</v>
      </c>
      <c r="AS21" s="1815">
        <f>'[4]int.bevételek RM III'!AM21</f>
        <v>113150</v>
      </c>
      <c r="AT21" s="1815">
        <f>107259-441</f>
        <v>106818</v>
      </c>
      <c r="AU21" s="1816">
        <f t="shared" si="4"/>
        <v>0.9440388864339373</v>
      </c>
      <c r="AV21" s="1815">
        <f>'[4]int.bevételek RM I'!AN21</f>
        <v>0</v>
      </c>
      <c r="AW21" s="1815">
        <f>'[4]int.bevételek RM III'!AP21</f>
        <v>442</v>
      </c>
      <c r="AX21" s="1815">
        <v>441</v>
      </c>
      <c r="AY21" s="1816">
        <f t="shared" si="5"/>
        <v>0.99773755656108598</v>
      </c>
      <c r="AZ21" s="1817">
        <f t="shared" si="6"/>
        <v>112861</v>
      </c>
      <c r="BA21" s="1817">
        <f t="shared" si="6"/>
        <v>113592</v>
      </c>
      <c r="BB21" s="1817">
        <f t="shared" si="6"/>
        <v>107259</v>
      </c>
      <c r="BC21" s="1818">
        <f t="shared" si="7"/>
        <v>0.94424783435453197</v>
      </c>
      <c r="BD21" s="1817">
        <f t="shared" si="8"/>
        <v>113931</v>
      </c>
      <c r="BE21" s="1817">
        <f t="shared" si="8"/>
        <v>116007</v>
      </c>
      <c r="BF21" s="1817">
        <f t="shared" si="8"/>
        <v>109674</v>
      </c>
      <c r="BG21" s="1818">
        <f t="shared" si="9"/>
        <v>0.94540846673045587</v>
      </c>
      <c r="BH21" s="886"/>
      <c r="BI21" s="886"/>
      <c r="BJ21" s="886"/>
      <c r="BK21" s="886"/>
      <c r="BL21" s="886"/>
      <c r="BM21" s="886"/>
    </row>
    <row r="22" spans="1:65" ht="57" customHeight="1" x14ac:dyDescent="0.75">
      <c r="A22" s="1814" t="s">
        <v>1156</v>
      </c>
      <c r="B22" s="1815">
        <f>'[4]int.bevételek RM I'!B22</f>
        <v>1320</v>
      </c>
      <c r="C22" s="1815">
        <f>'[4]int.bevételek RM III'!D22</f>
        <v>1745</v>
      </c>
      <c r="D22" s="1815">
        <v>1743</v>
      </c>
      <c r="E22" s="1816">
        <f t="shared" si="0"/>
        <v>0.99885386819484245</v>
      </c>
      <c r="F22" s="1815">
        <f>'[4]int.bevételek RM I'!E22</f>
        <v>0</v>
      </c>
      <c r="G22" s="1815">
        <f>'[4]int.bevételek RM III'!G22</f>
        <v>21</v>
      </c>
      <c r="H22" s="1815">
        <v>20</v>
      </c>
      <c r="I22" s="1816">
        <f>H22/G22</f>
        <v>0.95238095238095233</v>
      </c>
      <c r="J22" s="1815">
        <f>'[4]int.bevételek RM I'!H22</f>
        <v>0</v>
      </c>
      <c r="K22" s="1815">
        <f>'[4]int.bevételek RM III'!J22</f>
        <v>0</v>
      </c>
      <c r="L22" s="1815"/>
      <c r="M22" s="1816"/>
      <c r="N22" s="1815">
        <f>'[4]int.bevételek RM I'!K22</f>
        <v>0</v>
      </c>
      <c r="O22" s="1815">
        <f>'[4]int.bevételek RM III'!M22</f>
        <v>0</v>
      </c>
      <c r="P22" s="1815"/>
      <c r="Q22" s="1816"/>
      <c r="R22" s="1817">
        <f t="shared" si="10"/>
        <v>1320</v>
      </c>
      <c r="S22" s="1817">
        <f t="shared" si="10"/>
        <v>1766</v>
      </c>
      <c r="T22" s="1817">
        <f t="shared" si="10"/>
        <v>1763</v>
      </c>
      <c r="U22" s="1818">
        <f t="shared" si="1"/>
        <v>0.99830124575311441</v>
      </c>
      <c r="V22" s="1814" t="s">
        <v>1156</v>
      </c>
      <c r="W22" s="1815">
        <f>'[4]int.bevételek RM I'!R22</f>
        <v>0</v>
      </c>
      <c r="X22" s="1815">
        <f>'[4]int.bevételek RM III'!T22</f>
        <v>0</v>
      </c>
      <c r="Y22" s="1815"/>
      <c r="Z22" s="1816"/>
      <c r="AA22" s="1815">
        <f>'[4]int.bevételek RM I'!U22</f>
        <v>0</v>
      </c>
      <c r="AB22" s="1815">
        <f>'[4]int.bevételek RM III'!W22</f>
        <v>0</v>
      </c>
      <c r="AC22" s="1815"/>
      <c r="AD22" s="1816"/>
      <c r="AE22" s="1815">
        <f>'[4]int.bevételek RM I'!X22</f>
        <v>0</v>
      </c>
      <c r="AF22" s="1815">
        <f>'[4]int.bevételek RM III'!Z22</f>
        <v>0</v>
      </c>
      <c r="AG22" s="1815"/>
      <c r="AH22" s="1816"/>
      <c r="AI22" s="1817">
        <f t="shared" si="2"/>
        <v>0</v>
      </c>
      <c r="AJ22" s="1817">
        <f t="shared" si="2"/>
        <v>0</v>
      </c>
      <c r="AK22" s="1817">
        <f t="shared" si="2"/>
        <v>0</v>
      </c>
      <c r="AL22" s="1818"/>
      <c r="AM22" s="1815"/>
      <c r="AN22" s="1815">
        <f>'[4]int.bevételek RM III'!AJ22</f>
        <v>804</v>
      </c>
      <c r="AO22" s="1815">
        <v>804</v>
      </c>
      <c r="AP22" s="1816">
        <f t="shared" si="3"/>
        <v>1</v>
      </c>
      <c r="AQ22" s="1814" t="s">
        <v>1156</v>
      </c>
      <c r="AR22" s="1815">
        <f>'[4]int.bevételek RM I'!AK22</f>
        <v>137381</v>
      </c>
      <c r="AS22" s="1815">
        <f>'[4]int.bevételek RM III'!AM22</f>
        <v>145083</v>
      </c>
      <c r="AT22" s="1815">
        <f>144095-4320</f>
        <v>139775</v>
      </c>
      <c r="AU22" s="1816">
        <f t="shared" si="4"/>
        <v>0.96341404575312062</v>
      </c>
      <c r="AV22" s="1815">
        <f>'[4]int.bevételek RM I'!AN22</f>
        <v>0</v>
      </c>
      <c r="AW22" s="1815">
        <f>'[4]int.bevételek RM III'!AP22</f>
        <v>4321</v>
      </c>
      <c r="AX22" s="1815">
        <v>4320</v>
      </c>
      <c r="AY22" s="1816">
        <f t="shared" si="5"/>
        <v>0.99976857208979408</v>
      </c>
      <c r="AZ22" s="1817">
        <f t="shared" si="6"/>
        <v>137381</v>
      </c>
      <c r="BA22" s="1817">
        <f t="shared" si="6"/>
        <v>149404</v>
      </c>
      <c r="BB22" s="1817">
        <f t="shared" si="6"/>
        <v>144095</v>
      </c>
      <c r="BC22" s="1818">
        <f t="shared" si="7"/>
        <v>0.96446547615860356</v>
      </c>
      <c r="BD22" s="1817">
        <f t="shared" si="8"/>
        <v>138701</v>
      </c>
      <c r="BE22" s="1817">
        <f t="shared" si="8"/>
        <v>151974</v>
      </c>
      <c r="BF22" s="1817">
        <f t="shared" si="8"/>
        <v>146662</v>
      </c>
      <c r="BG22" s="1818">
        <f t="shared" si="9"/>
        <v>0.96504665271691215</v>
      </c>
      <c r="BH22" s="886"/>
      <c r="BI22" s="886"/>
      <c r="BJ22" s="886"/>
      <c r="BK22" s="886"/>
      <c r="BL22" s="886"/>
      <c r="BM22" s="886"/>
    </row>
    <row r="23" spans="1:65" ht="57" customHeight="1" x14ac:dyDescent="0.75">
      <c r="A23" s="1814" t="s">
        <v>1157</v>
      </c>
      <c r="B23" s="1815">
        <f>'[4]int.bevételek RM I'!B23</f>
        <v>720</v>
      </c>
      <c r="C23" s="1815">
        <f>'[4]int.bevételek RM III'!D23</f>
        <v>1348</v>
      </c>
      <c r="D23" s="1815">
        <v>1347</v>
      </c>
      <c r="E23" s="1816">
        <f t="shared" si="0"/>
        <v>0.99925816023738867</v>
      </c>
      <c r="F23" s="1815">
        <f>'[4]int.bevételek RM I'!E23</f>
        <v>0</v>
      </c>
      <c r="G23" s="1815">
        <f>'[4]int.bevételek RM III'!G23</f>
        <v>224</v>
      </c>
      <c r="H23" s="1815">
        <v>223</v>
      </c>
      <c r="I23" s="1816">
        <f>H23/G23</f>
        <v>0.9955357142857143</v>
      </c>
      <c r="J23" s="1815">
        <f>'[4]int.bevételek RM I'!H23</f>
        <v>0</v>
      </c>
      <c r="K23" s="1815">
        <f>'[4]int.bevételek RM III'!J23</f>
        <v>0</v>
      </c>
      <c r="L23" s="1815"/>
      <c r="M23" s="1816"/>
      <c r="N23" s="1815">
        <f>'[4]int.bevételek RM I'!K23</f>
        <v>0</v>
      </c>
      <c r="O23" s="1815">
        <f>'[4]int.bevételek RM III'!M23</f>
        <v>0</v>
      </c>
      <c r="P23" s="1815"/>
      <c r="Q23" s="1816"/>
      <c r="R23" s="1817">
        <f t="shared" si="10"/>
        <v>720</v>
      </c>
      <c r="S23" s="1817">
        <f t="shared" si="10"/>
        <v>1572</v>
      </c>
      <c r="T23" s="1817">
        <f t="shared" si="10"/>
        <v>1570</v>
      </c>
      <c r="U23" s="1818">
        <f t="shared" si="1"/>
        <v>0.99872773536895676</v>
      </c>
      <c r="V23" s="1814" t="s">
        <v>1157</v>
      </c>
      <c r="W23" s="1815">
        <f>'[4]int.bevételek RM I'!R23</f>
        <v>0</v>
      </c>
      <c r="X23" s="1815">
        <f>'[4]int.bevételek RM III'!T23</f>
        <v>0</v>
      </c>
      <c r="Y23" s="1815"/>
      <c r="Z23" s="1816"/>
      <c r="AA23" s="1815">
        <f>'[4]int.bevételek RM I'!U23</f>
        <v>0</v>
      </c>
      <c r="AB23" s="1815">
        <f>'[4]int.bevételek RM III'!W23</f>
        <v>0</v>
      </c>
      <c r="AC23" s="1815"/>
      <c r="AD23" s="1816"/>
      <c r="AE23" s="1815">
        <f>'[4]int.bevételek RM I'!X23</f>
        <v>0</v>
      </c>
      <c r="AF23" s="1815">
        <f>'[4]int.bevételek RM III'!Z23</f>
        <v>0</v>
      </c>
      <c r="AG23" s="1815"/>
      <c r="AH23" s="1816"/>
      <c r="AI23" s="1817">
        <f t="shared" si="2"/>
        <v>0</v>
      </c>
      <c r="AJ23" s="1817">
        <f t="shared" si="2"/>
        <v>0</v>
      </c>
      <c r="AK23" s="1817">
        <f t="shared" si="2"/>
        <v>0</v>
      </c>
      <c r="AL23" s="1818"/>
      <c r="AM23" s="1815"/>
      <c r="AN23" s="1815">
        <f>'[4]int.bevételek RM III'!AJ23</f>
        <v>1533</v>
      </c>
      <c r="AO23" s="1815">
        <v>1533</v>
      </c>
      <c r="AP23" s="1816">
        <f t="shared" si="3"/>
        <v>1</v>
      </c>
      <c r="AQ23" s="1814" t="s">
        <v>1157</v>
      </c>
      <c r="AR23" s="1815">
        <f>'[4]int.bevételek RM I'!AK23</f>
        <v>152559</v>
      </c>
      <c r="AS23" s="1815">
        <f>'[4]int.bevételek RM III'!AM23</f>
        <v>159728</v>
      </c>
      <c r="AT23" s="1815">
        <f>155905-6131</f>
        <v>149774</v>
      </c>
      <c r="AU23" s="1816">
        <f t="shared" si="4"/>
        <v>0.93768155864970448</v>
      </c>
      <c r="AV23" s="1815">
        <f>'[4]int.bevételek RM I'!AN23</f>
        <v>0</v>
      </c>
      <c r="AW23" s="1815">
        <f>'[4]int.bevételek RM III'!AP23</f>
        <v>6132</v>
      </c>
      <c r="AX23" s="1815">
        <v>6131</v>
      </c>
      <c r="AY23" s="1816">
        <f t="shared" si="5"/>
        <v>0.99983692106979782</v>
      </c>
      <c r="AZ23" s="1817">
        <f t="shared" si="6"/>
        <v>152559</v>
      </c>
      <c r="BA23" s="1817">
        <f t="shared" si="6"/>
        <v>165860</v>
      </c>
      <c r="BB23" s="1817">
        <f t="shared" si="6"/>
        <v>155905</v>
      </c>
      <c r="BC23" s="1818">
        <f t="shared" si="7"/>
        <v>0.93997950078379355</v>
      </c>
      <c r="BD23" s="1817">
        <f t="shared" si="8"/>
        <v>153279</v>
      </c>
      <c r="BE23" s="1817">
        <f t="shared" si="8"/>
        <v>168965</v>
      </c>
      <c r="BF23" s="1817">
        <f t="shared" si="8"/>
        <v>159008</v>
      </c>
      <c r="BG23" s="1818">
        <f t="shared" si="9"/>
        <v>0.94107063593051821</v>
      </c>
      <c r="BH23" s="886"/>
      <c r="BI23" s="886"/>
      <c r="BJ23" s="886"/>
      <c r="BK23" s="886"/>
      <c r="BL23" s="886"/>
      <c r="BM23" s="886"/>
    </row>
    <row r="24" spans="1:65" ht="57" customHeight="1" x14ac:dyDescent="0.75">
      <c r="A24" s="1814" t="s">
        <v>1158</v>
      </c>
      <c r="B24" s="1815">
        <f>'[4]int.bevételek RM I'!B24</f>
        <v>1290</v>
      </c>
      <c r="C24" s="1815">
        <f>'[4]int.bevételek RM III'!D24</f>
        <v>1957</v>
      </c>
      <c r="D24" s="1815">
        <v>1956</v>
      </c>
      <c r="E24" s="1816">
        <f t="shared" si="0"/>
        <v>0.99948901379662747</v>
      </c>
      <c r="F24" s="1815">
        <f>'[4]int.bevételek RM I'!E24</f>
        <v>0</v>
      </c>
      <c r="G24" s="1815">
        <f>'[4]int.bevételek RM III'!G24</f>
        <v>0</v>
      </c>
      <c r="H24" s="1815"/>
      <c r="I24" s="1816"/>
      <c r="J24" s="1815">
        <f>'[4]int.bevételek RM I'!H24</f>
        <v>0</v>
      </c>
      <c r="K24" s="1815">
        <f>'[4]int.bevételek RM III'!J24</f>
        <v>0</v>
      </c>
      <c r="L24" s="1815"/>
      <c r="M24" s="1816"/>
      <c r="N24" s="1815">
        <f>'[4]int.bevételek RM I'!K24</f>
        <v>0</v>
      </c>
      <c r="O24" s="1815">
        <f>'[4]int.bevételek RM III'!M24</f>
        <v>0</v>
      </c>
      <c r="P24" s="1815"/>
      <c r="Q24" s="1816"/>
      <c r="R24" s="1817">
        <f t="shared" si="10"/>
        <v>1290</v>
      </c>
      <c r="S24" s="1817">
        <f t="shared" si="10"/>
        <v>1957</v>
      </c>
      <c r="T24" s="1817">
        <f t="shared" si="10"/>
        <v>1956</v>
      </c>
      <c r="U24" s="1818">
        <f t="shared" si="1"/>
        <v>0.99948901379662747</v>
      </c>
      <c r="V24" s="1814" t="s">
        <v>1158</v>
      </c>
      <c r="W24" s="1815">
        <f>'[4]int.bevételek RM I'!R24</f>
        <v>0</v>
      </c>
      <c r="X24" s="1815">
        <f>'[4]int.bevételek RM III'!T24</f>
        <v>0</v>
      </c>
      <c r="Y24" s="1815"/>
      <c r="Z24" s="1816"/>
      <c r="AA24" s="1815">
        <f>'[4]int.bevételek RM I'!U24</f>
        <v>0</v>
      </c>
      <c r="AB24" s="1815">
        <f>'[4]int.bevételek RM III'!W24</f>
        <v>0</v>
      </c>
      <c r="AC24" s="1815"/>
      <c r="AD24" s="1816"/>
      <c r="AE24" s="1815">
        <f>'[4]int.bevételek RM I'!X24</f>
        <v>0</v>
      </c>
      <c r="AF24" s="1815">
        <f>'[4]int.bevételek RM III'!Z24</f>
        <v>0</v>
      </c>
      <c r="AG24" s="1815"/>
      <c r="AH24" s="1816"/>
      <c r="AI24" s="1817">
        <f t="shared" si="2"/>
        <v>0</v>
      </c>
      <c r="AJ24" s="1817">
        <f t="shared" si="2"/>
        <v>0</v>
      </c>
      <c r="AK24" s="1817">
        <f t="shared" si="2"/>
        <v>0</v>
      </c>
      <c r="AL24" s="1818"/>
      <c r="AM24" s="1815"/>
      <c r="AN24" s="1815">
        <f>'[4]int.bevételek RM III'!AJ24</f>
        <v>1207</v>
      </c>
      <c r="AO24" s="1815">
        <v>1207</v>
      </c>
      <c r="AP24" s="1816">
        <f t="shared" si="3"/>
        <v>1</v>
      </c>
      <c r="AQ24" s="1814" t="s">
        <v>1158</v>
      </c>
      <c r="AR24" s="1815">
        <f>'[4]int.bevételek RM I'!AK24</f>
        <v>223172</v>
      </c>
      <c r="AS24" s="1815">
        <f>'[4]int.bevételek RM III'!AM24</f>
        <v>222537</v>
      </c>
      <c r="AT24" s="1815">
        <f>212591-3118</f>
        <v>209473</v>
      </c>
      <c r="AU24" s="1816">
        <f t="shared" si="4"/>
        <v>0.94129515541235842</v>
      </c>
      <c r="AV24" s="1815">
        <f>'[4]int.bevételek RM I'!AN24</f>
        <v>0</v>
      </c>
      <c r="AW24" s="1815">
        <f>'[4]int.bevételek RM III'!AP24</f>
        <v>3119</v>
      </c>
      <c r="AX24" s="1815">
        <v>3118</v>
      </c>
      <c r="AY24" s="1816">
        <f t="shared" si="5"/>
        <v>0.99967938441808268</v>
      </c>
      <c r="AZ24" s="1817">
        <f t="shared" si="6"/>
        <v>223172</v>
      </c>
      <c r="BA24" s="1817">
        <f t="shared" si="6"/>
        <v>225656</v>
      </c>
      <c r="BB24" s="1817">
        <f t="shared" si="6"/>
        <v>212591</v>
      </c>
      <c r="BC24" s="1818">
        <f t="shared" si="7"/>
        <v>0.94210213776722085</v>
      </c>
      <c r="BD24" s="1817">
        <f t="shared" si="8"/>
        <v>224462</v>
      </c>
      <c r="BE24" s="1817">
        <f t="shared" si="8"/>
        <v>228820</v>
      </c>
      <c r="BF24" s="1817">
        <f t="shared" si="8"/>
        <v>215754</v>
      </c>
      <c r="BG24" s="1818">
        <f t="shared" si="9"/>
        <v>0.94289834804649941</v>
      </c>
      <c r="BH24" s="886"/>
      <c r="BI24" s="886"/>
      <c r="BJ24" s="886"/>
      <c r="BK24" s="886"/>
      <c r="BL24" s="886"/>
      <c r="BM24" s="886"/>
    </row>
    <row r="25" spans="1:65" ht="57" customHeight="1" x14ac:dyDescent="0.75">
      <c r="A25" s="1814" t="s">
        <v>1159</v>
      </c>
      <c r="B25" s="1815">
        <f>'[4]int.bevételek RM I'!B25</f>
        <v>700</v>
      </c>
      <c r="C25" s="1815">
        <f>'[4]int.bevételek RM III'!D25</f>
        <v>625</v>
      </c>
      <c r="D25" s="1815">
        <v>625</v>
      </c>
      <c r="E25" s="1816">
        <f t="shared" si="0"/>
        <v>1</v>
      </c>
      <c r="F25" s="1815">
        <f>'[4]int.bevételek RM I'!E25</f>
        <v>0</v>
      </c>
      <c r="G25" s="1815">
        <f>'[4]int.bevételek RM III'!G25</f>
        <v>0</v>
      </c>
      <c r="H25" s="1815"/>
      <c r="I25" s="1816"/>
      <c r="J25" s="1815">
        <f>'[4]int.bevételek RM I'!H25</f>
        <v>0</v>
      </c>
      <c r="K25" s="1815">
        <f>'[4]int.bevételek RM III'!J25</f>
        <v>0</v>
      </c>
      <c r="L25" s="1815"/>
      <c r="M25" s="1816"/>
      <c r="N25" s="1815">
        <f>'[4]int.bevételek RM I'!K25</f>
        <v>0</v>
      </c>
      <c r="O25" s="1815">
        <f>'[4]int.bevételek RM III'!M25</f>
        <v>0</v>
      </c>
      <c r="P25" s="1815"/>
      <c r="Q25" s="1816"/>
      <c r="R25" s="1817">
        <f t="shared" si="10"/>
        <v>700</v>
      </c>
      <c r="S25" s="1817">
        <f t="shared" si="10"/>
        <v>625</v>
      </c>
      <c r="T25" s="1817">
        <f t="shared" si="10"/>
        <v>625</v>
      </c>
      <c r="U25" s="1818">
        <f t="shared" si="1"/>
        <v>1</v>
      </c>
      <c r="V25" s="1814" t="s">
        <v>1159</v>
      </c>
      <c r="W25" s="1815">
        <f>'[4]int.bevételek RM I'!R25</f>
        <v>0</v>
      </c>
      <c r="X25" s="1815">
        <f>'[4]int.bevételek RM III'!T25</f>
        <v>0</v>
      </c>
      <c r="Y25" s="1815"/>
      <c r="Z25" s="1816"/>
      <c r="AA25" s="1815">
        <f>'[4]int.bevételek RM I'!U25</f>
        <v>0</v>
      </c>
      <c r="AB25" s="1815">
        <f>'[4]int.bevételek RM III'!W25</f>
        <v>0</v>
      </c>
      <c r="AC25" s="1815"/>
      <c r="AD25" s="1816"/>
      <c r="AE25" s="1815">
        <f>'[4]int.bevételek RM I'!X25</f>
        <v>0</v>
      </c>
      <c r="AF25" s="1815">
        <f>'[4]int.bevételek RM III'!Z25</f>
        <v>0</v>
      </c>
      <c r="AG25" s="1815"/>
      <c r="AH25" s="1816"/>
      <c r="AI25" s="1817">
        <f t="shared" si="2"/>
        <v>0</v>
      </c>
      <c r="AJ25" s="1817">
        <f t="shared" si="2"/>
        <v>0</v>
      </c>
      <c r="AK25" s="1817">
        <f t="shared" si="2"/>
        <v>0</v>
      </c>
      <c r="AL25" s="1818"/>
      <c r="AM25" s="1815"/>
      <c r="AN25" s="1815">
        <f>'[4]int.bevételek RM III'!AJ25</f>
        <v>1509</v>
      </c>
      <c r="AO25" s="1815">
        <v>1509</v>
      </c>
      <c r="AP25" s="1816">
        <f t="shared" si="3"/>
        <v>1</v>
      </c>
      <c r="AQ25" s="1814" t="s">
        <v>1159</v>
      </c>
      <c r="AR25" s="1815">
        <f>'[4]int.bevételek RM I'!AK25</f>
        <v>176893</v>
      </c>
      <c r="AS25" s="1815">
        <f>'[4]int.bevételek RM III'!AM25</f>
        <v>179248</v>
      </c>
      <c r="AT25" s="1815">
        <f>164233-2583</f>
        <v>161650</v>
      </c>
      <c r="AU25" s="1816">
        <f t="shared" si="4"/>
        <v>0.90182317236454523</v>
      </c>
      <c r="AV25" s="1815">
        <f>'[4]int.bevételek RM I'!AN25</f>
        <v>0</v>
      </c>
      <c r="AW25" s="1815">
        <f>'[4]int.bevételek RM III'!AP25</f>
        <v>6686</v>
      </c>
      <c r="AX25" s="1815">
        <v>2583</v>
      </c>
      <c r="AY25" s="1816">
        <f t="shared" si="5"/>
        <v>0.3863296440323063</v>
      </c>
      <c r="AZ25" s="1817">
        <f t="shared" si="6"/>
        <v>176893</v>
      </c>
      <c r="BA25" s="1817">
        <f t="shared" si="6"/>
        <v>185934</v>
      </c>
      <c r="BB25" s="1817">
        <f t="shared" si="6"/>
        <v>164233</v>
      </c>
      <c r="BC25" s="1818">
        <f t="shared" si="7"/>
        <v>0.883286542536599</v>
      </c>
      <c r="BD25" s="1817">
        <f t="shared" si="8"/>
        <v>177593</v>
      </c>
      <c r="BE25" s="1817">
        <f t="shared" si="8"/>
        <v>188068</v>
      </c>
      <c r="BF25" s="1817">
        <f t="shared" si="8"/>
        <v>166367</v>
      </c>
      <c r="BG25" s="1818">
        <f t="shared" si="9"/>
        <v>0.8846108854244209</v>
      </c>
      <c r="BH25" s="886"/>
      <c r="BI25" s="886"/>
      <c r="BJ25" s="886"/>
      <c r="BK25" s="886"/>
      <c r="BL25" s="886"/>
      <c r="BM25" s="886"/>
    </row>
    <row r="26" spans="1:65" ht="57" customHeight="1" x14ac:dyDescent="0.75">
      <c r="A26" s="1814" t="s">
        <v>1160</v>
      </c>
      <c r="B26" s="1815">
        <f>'[4]int.bevételek RM I'!B26</f>
        <v>720</v>
      </c>
      <c r="C26" s="1815">
        <f>'[4]int.bevételek RM III'!D26</f>
        <v>1937</v>
      </c>
      <c r="D26" s="1815">
        <v>1935</v>
      </c>
      <c r="E26" s="1816">
        <f t="shared" si="0"/>
        <v>0.99896747547754261</v>
      </c>
      <c r="F26" s="1815">
        <f>'[4]int.bevételek RM I'!E26</f>
        <v>0</v>
      </c>
      <c r="G26" s="1815">
        <f>'[4]int.bevételek RM III'!G26</f>
        <v>0</v>
      </c>
      <c r="H26" s="1815"/>
      <c r="I26" s="1816"/>
      <c r="J26" s="1815">
        <f>'[4]int.bevételek RM I'!H26</f>
        <v>0</v>
      </c>
      <c r="K26" s="1815">
        <f>'[4]int.bevételek RM III'!J26</f>
        <v>0</v>
      </c>
      <c r="L26" s="1815"/>
      <c r="M26" s="1816"/>
      <c r="N26" s="1815">
        <f>'[4]int.bevételek RM I'!K26</f>
        <v>0</v>
      </c>
      <c r="O26" s="1815">
        <f>'[4]int.bevételek RM III'!M26</f>
        <v>0</v>
      </c>
      <c r="P26" s="1815"/>
      <c r="Q26" s="1816"/>
      <c r="R26" s="1817">
        <f t="shared" si="10"/>
        <v>720</v>
      </c>
      <c r="S26" s="1817">
        <f t="shared" si="10"/>
        <v>1937</v>
      </c>
      <c r="T26" s="1817">
        <f t="shared" si="10"/>
        <v>1935</v>
      </c>
      <c r="U26" s="1818">
        <f t="shared" si="1"/>
        <v>0.99896747547754261</v>
      </c>
      <c r="V26" s="1814" t="s">
        <v>1160</v>
      </c>
      <c r="W26" s="1815">
        <f>'[4]int.bevételek RM I'!R26</f>
        <v>0</v>
      </c>
      <c r="X26" s="1815">
        <f>'[4]int.bevételek RM III'!T26</f>
        <v>0</v>
      </c>
      <c r="Y26" s="1815"/>
      <c r="Z26" s="1816"/>
      <c r="AA26" s="1815">
        <f>'[4]int.bevételek RM I'!U26</f>
        <v>0</v>
      </c>
      <c r="AB26" s="1815">
        <f>'[4]int.bevételek RM III'!W26</f>
        <v>0</v>
      </c>
      <c r="AC26" s="1815"/>
      <c r="AD26" s="1816"/>
      <c r="AE26" s="1815">
        <f>'[4]int.bevételek RM I'!X26</f>
        <v>0</v>
      </c>
      <c r="AF26" s="1815">
        <f>'[4]int.bevételek RM III'!Z26</f>
        <v>0</v>
      </c>
      <c r="AG26" s="1815"/>
      <c r="AH26" s="1816"/>
      <c r="AI26" s="1817">
        <f t="shared" si="2"/>
        <v>0</v>
      </c>
      <c r="AJ26" s="1817">
        <f t="shared" si="2"/>
        <v>0</v>
      </c>
      <c r="AK26" s="1817">
        <f t="shared" si="2"/>
        <v>0</v>
      </c>
      <c r="AL26" s="1818"/>
      <c r="AM26" s="1815"/>
      <c r="AN26" s="1815">
        <f>'[4]int.bevételek RM III'!AJ26</f>
        <v>2048</v>
      </c>
      <c r="AO26" s="1815">
        <v>2048</v>
      </c>
      <c r="AP26" s="1816">
        <f t="shared" si="3"/>
        <v>1</v>
      </c>
      <c r="AQ26" s="1814" t="s">
        <v>1160</v>
      </c>
      <c r="AR26" s="1815">
        <f>'[4]int.bevételek RM I'!AK26</f>
        <v>126324</v>
      </c>
      <c r="AS26" s="1815">
        <f>'[4]int.bevételek RM III'!AM26</f>
        <v>132379</v>
      </c>
      <c r="AT26" s="1815">
        <f>129584-797</f>
        <v>128787</v>
      </c>
      <c r="AU26" s="1816">
        <f t="shared" si="4"/>
        <v>0.97286578686951863</v>
      </c>
      <c r="AV26" s="1815">
        <f>'[4]int.bevételek RM I'!AN26</f>
        <v>0</v>
      </c>
      <c r="AW26" s="1815">
        <f>'[4]int.bevételek RM III'!AP26</f>
        <v>3281</v>
      </c>
      <c r="AX26" s="1815">
        <v>797</v>
      </c>
      <c r="AY26" s="1816">
        <f t="shared" si="5"/>
        <v>0.24291374580920452</v>
      </c>
      <c r="AZ26" s="1817">
        <f t="shared" si="6"/>
        <v>126324</v>
      </c>
      <c r="BA26" s="1817">
        <f t="shared" si="6"/>
        <v>135660</v>
      </c>
      <c r="BB26" s="1817">
        <f t="shared" si="6"/>
        <v>129584</v>
      </c>
      <c r="BC26" s="1818">
        <f t="shared" si="7"/>
        <v>0.95521155830753357</v>
      </c>
      <c r="BD26" s="1817">
        <f t="shared" si="8"/>
        <v>127044</v>
      </c>
      <c r="BE26" s="1817">
        <f t="shared" si="8"/>
        <v>139645</v>
      </c>
      <c r="BF26" s="1817">
        <f t="shared" si="8"/>
        <v>133567</v>
      </c>
      <c r="BG26" s="1818">
        <f t="shared" si="9"/>
        <v>0.95647534820437541</v>
      </c>
      <c r="BH26" s="886"/>
      <c r="BI26" s="886"/>
      <c r="BJ26" s="886"/>
      <c r="BK26" s="886"/>
      <c r="BL26" s="886"/>
      <c r="BM26" s="886"/>
    </row>
    <row r="27" spans="1:65" ht="57" customHeight="1" thickBot="1" x14ac:dyDescent="0.8">
      <c r="A27" s="1819" t="s">
        <v>1161</v>
      </c>
      <c r="B27" s="1820">
        <f>'[4]int.bevételek RM I'!B27</f>
        <v>1120</v>
      </c>
      <c r="C27" s="1815">
        <f>'[4]int.bevételek RM III'!D27</f>
        <v>1018</v>
      </c>
      <c r="D27" s="1820">
        <v>1018</v>
      </c>
      <c r="E27" s="1821">
        <f t="shared" si="0"/>
        <v>1</v>
      </c>
      <c r="F27" s="1820">
        <f>'[4]int.bevételek RM I'!E27</f>
        <v>0</v>
      </c>
      <c r="G27" s="1815">
        <f>'[4]int.bevételek RM III'!G27</f>
        <v>0</v>
      </c>
      <c r="H27" s="1820"/>
      <c r="I27" s="1821"/>
      <c r="J27" s="1820">
        <f>'[4]int.bevételek RM I'!H27</f>
        <v>0</v>
      </c>
      <c r="K27" s="1815">
        <f>'[4]int.bevételek RM III'!J27</f>
        <v>0</v>
      </c>
      <c r="L27" s="1820"/>
      <c r="M27" s="1821"/>
      <c r="N27" s="1820">
        <f>'[4]int.bevételek RM I'!K27</f>
        <v>0</v>
      </c>
      <c r="O27" s="1820">
        <f>'[4]int.bevételek RM III'!M27</f>
        <v>0</v>
      </c>
      <c r="P27" s="1815"/>
      <c r="Q27" s="1821"/>
      <c r="R27" s="1817">
        <f t="shared" si="10"/>
        <v>1120</v>
      </c>
      <c r="S27" s="1817">
        <f t="shared" si="10"/>
        <v>1018</v>
      </c>
      <c r="T27" s="1817">
        <f t="shared" si="10"/>
        <v>1018</v>
      </c>
      <c r="U27" s="1822">
        <f t="shared" si="1"/>
        <v>1</v>
      </c>
      <c r="V27" s="1819" t="s">
        <v>1161</v>
      </c>
      <c r="W27" s="1820">
        <f>'[4]int.bevételek RM I'!R27</f>
        <v>0</v>
      </c>
      <c r="X27" s="1820">
        <f>'[4]int.bevételek RM III'!T27</f>
        <v>0</v>
      </c>
      <c r="Y27" s="1820"/>
      <c r="Z27" s="1821"/>
      <c r="AA27" s="1820">
        <f>'[4]int.bevételek RM I'!U27</f>
        <v>0</v>
      </c>
      <c r="AB27" s="1820">
        <f>'[4]int.bevételek RM III'!W27</f>
        <v>0</v>
      </c>
      <c r="AC27" s="1815"/>
      <c r="AD27" s="1821"/>
      <c r="AE27" s="1820">
        <f>'[4]int.bevételek RM I'!X27</f>
        <v>0</v>
      </c>
      <c r="AF27" s="1820">
        <f>'[4]int.bevételek RM III'!Z27</f>
        <v>0</v>
      </c>
      <c r="AG27" s="1820"/>
      <c r="AH27" s="1823"/>
      <c r="AI27" s="1817">
        <f t="shared" si="2"/>
        <v>0</v>
      </c>
      <c r="AJ27" s="1817">
        <f t="shared" si="2"/>
        <v>0</v>
      </c>
      <c r="AK27" s="1817">
        <f t="shared" si="2"/>
        <v>0</v>
      </c>
      <c r="AL27" s="1822"/>
      <c r="AM27" s="1820"/>
      <c r="AN27" s="1815">
        <f>'[4]int.bevételek RM III'!AJ27</f>
        <v>785</v>
      </c>
      <c r="AO27" s="1820">
        <v>785</v>
      </c>
      <c r="AP27" s="1821">
        <f t="shared" si="3"/>
        <v>1</v>
      </c>
      <c r="AQ27" s="1819" t="s">
        <v>1161</v>
      </c>
      <c r="AR27" s="1820">
        <f>'[4]int.bevételek RM I'!AK27</f>
        <v>93101</v>
      </c>
      <c r="AS27" s="1815">
        <f>'[4]int.bevételek RM III'!AM27</f>
        <v>93161</v>
      </c>
      <c r="AT27" s="1820">
        <f>90095-871</f>
        <v>89224</v>
      </c>
      <c r="AU27" s="1821">
        <f t="shared" si="4"/>
        <v>0.95773982675153768</v>
      </c>
      <c r="AV27" s="1820">
        <f>'[4]int.bevételek RM I'!AN27</f>
        <v>0</v>
      </c>
      <c r="AW27" s="1815">
        <f>'[4]int.bevételek RM III'!AP27</f>
        <v>873</v>
      </c>
      <c r="AX27" s="1820">
        <v>871</v>
      </c>
      <c r="AY27" s="1821">
        <f>AX27/AW27</f>
        <v>0.99770904925544102</v>
      </c>
      <c r="AZ27" s="1817">
        <f t="shared" si="6"/>
        <v>93101</v>
      </c>
      <c r="BA27" s="1817">
        <f t="shared" si="6"/>
        <v>94034</v>
      </c>
      <c r="BB27" s="1817">
        <f t="shared" si="6"/>
        <v>90095</v>
      </c>
      <c r="BC27" s="1822">
        <f t="shared" si="7"/>
        <v>0.95811089605887234</v>
      </c>
      <c r="BD27" s="1817">
        <f t="shared" si="8"/>
        <v>94221</v>
      </c>
      <c r="BE27" s="1817">
        <f t="shared" si="8"/>
        <v>95837</v>
      </c>
      <c r="BF27" s="1817">
        <f t="shared" si="8"/>
        <v>91898</v>
      </c>
      <c r="BG27" s="1822">
        <f t="shared" si="9"/>
        <v>0.95889896386573037</v>
      </c>
      <c r="BH27" s="886"/>
      <c r="BI27" s="886"/>
      <c r="BJ27" s="886"/>
      <c r="BK27" s="886"/>
      <c r="BL27" s="886"/>
      <c r="BM27" s="886"/>
    </row>
    <row r="28" spans="1:65" ht="57" customHeight="1" thickBot="1" x14ac:dyDescent="0.8">
      <c r="A28" s="1824" t="s">
        <v>1162</v>
      </c>
      <c r="B28" s="1825">
        <f>SUM(B10:B27)</f>
        <v>19300</v>
      </c>
      <c r="C28" s="1825">
        <f>SUM(C10:C27)</f>
        <v>31707</v>
      </c>
      <c r="D28" s="1825">
        <f>SUM(D10:D27)</f>
        <v>31686</v>
      </c>
      <c r="E28" s="1826">
        <f t="shared" si="0"/>
        <v>0.99933768568454917</v>
      </c>
      <c r="F28" s="1825">
        <f>SUM(F10:F27)</f>
        <v>0</v>
      </c>
      <c r="G28" s="1825">
        <f>SUM(G10:G27)</f>
        <v>745</v>
      </c>
      <c r="H28" s="1825">
        <f>SUM(H10:H27)</f>
        <v>740</v>
      </c>
      <c r="I28" s="1826">
        <f>H28/G28</f>
        <v>0.99328859060402686</v>
      </c>
      <c r="J28" s="1825">
        <f>SUM(J10:J27)</f>
        <v>0</v>
      </c>
      <c r="K28" s="1825">
        <f>SUM(K10:K27)</f>
        <v>1054</v>
      </c>
      <c r="L28" s="1825">
        <f>SUM(L10:L27)</f>
        <v>1053</v>
      </c>
      <c r="M28" s="1826">
        <f>L28/K28</f>
        <v>0.99905123339658441</v>
      </c>
      <c r="N28" s="1825">
        <f>SUM(N10:N27)</f>
        <v>0</v>
      </c>
      <c r="O28" s="1825">
        <f>SUM(O10:O27)</f>
        <v>0</v>
      </c>
      <c r="P28" s="1825">
        <f>SUM(P10:P27)</f>
        <v>0</v>
      </c>
      <c r="Q28" s="1826"/>
      <c r="R28" s="1825">
        <f>SUM(R10:R27)</f>
        <v>19300</v>
      </c>
      <c r="S28" s="1825">
        <f>SUM(S10:S27)</f>
        <v>33506</v>
      </c>
      <c r="T28" s="1825">
        <f>SUM(T10:T27)</f>
        <v>33479</v>
      </c>
      <c r="U28" s="1826">
        <f t="shared" si="1"/>
        <v>0.99919417417775924</v>
      </c>
      <c r="V28" s="1824" t="s">
        <v>1162</v>
      </c>
      <c r="W28" s="1825">
        <f>SUM(W10:W27)</f>
        <v>0</v>
      </c>
      <c r="X28" s="1825">
        <f>SUM(X10:X27)</f>
        <v>0</v>
      </c>
      <c r="Y28" s="1825">
        <f>SUM(Y10:Y27)</f>
        <v>0</v>
      </c>
      <c r="Z28" s="1826"/>
      <c r="AA28" s="1825">
        <f>SUM(AA10:AA27)</f>
        <v>0</v>
      </c>
      <c r="AB28" s="1825">
        <f>SUM(AB10:AB27)</f>
        <v>0</v>
      </c>
      <c r="AC28" s="1825">
        <f>SUM(AC10:AC27)</f>
        <v>0</v>
      </c>
      <c r="AD28" s="1826"/>
      <c r="AE28" s="1825">
        <f>SUM(AE10:AE27)</f>
        <v>0</v>
      </c>
      <c r="AF28" s="1825">
        <f>SUM(AF10:AF27)</f>
        <v>0</v>
      </c>
      <c r="AG28" s="1825">
        <f>SUM(AG10:AG27)</f>
        <v>0</v>
      </c>
      <c r="AH28" s="1826"/>
      <c r="AI28" s="1825">
        <f>SUM(AI10:AI27)</f>
        <v>0</v>
      </c>
      <c r="AJ28" s="1825">
        <f>SUM(AJ10:AJ27)</f>
        <v>0</v>
      </c>
      <c r="AK28" s="1825">
        <f>SUM(AK10:AK27)</f>
        <v>0</v>
      </c>
      <c r="AL28" s="1826"/>
      <c r="AM28" s="1825">
        <f>SUM(AM10:AM27)</f>
        <v>0</v>
      </c>
      <c r="AN28" s="1825">
        <f>SUM(AN10:AN27)</f>
        <v>24289</v>
      </c>
      <c r="AO28" s="1825">
        <f>SUM(AO10:AO27)</f>
        <v>24288</v>
      </c>
      <c r="AP28" s="1826">
        <f t="shared" si="3"/>
        <v>0.99995882909959244</v>
      </c>
      <c r="AQ28" s="1824" t="s">
        <v>1162</v>
      </c>
      <c r="AR28" s="1825">
        <f>SUM(AR10:AR27)</f>
        <v>2963404</v>
      </c>
      <c r="AS28" s="1825">
        <f>SUM(AS10:AS27)</f>
        <v>3037732</v>
      </c>
      <c r="AT28" s="1825">
        <f>SUM(AT10:AT27)</f>
        <v>2914098</v>
      </c>
      <c r="AU28" s="1826">
        <f t="shared" si="4"/>
        <v>0.95930055712617179</v>
      </c>
      <c r="AV28" s="1825">
        <f>SUM(AV10:AV27)</f>
        <v>0</v>
      </c>
      <c r="AW28" s="1825">
        <f>SUM(AW10:AW27)</f>
        <v>45706</v>
      </c>
      <c r="AX28" s="1825">
        <f>SUM(AX10:AX27)</f>
        <v>35413</v>
      </c>
      <c r="AY28" s="1826">
        <f>AX28/AW28</f>
        <v>0.77479980746510302</v>
      </c>
      <c r="AZ28" s="1825">
        <f>SUM(AZ10:AZ27)</f>
        <v>2963404</v>
      </c>
      <c r="BA28" s="1825">
        <f>SUM(BA10:BA27)</f>
        <v>3083438</v>
      </c>
      <c r="BB28" s="1825">
        <f>SUM(BB10:BB27)</f>
        <v>2949511</v>
      </c>
      <c r="BC28" s="1826">
        <f t="shared" si="7"/>
        <v>0.95656569063493413</v>
      </c>
      <c r="BD28" s="1825">
        <f>SUM(BD10:BD27)</f>
        <v>2982704</v>
      </c>
      <c r="BE28" s="1825">
        <f>SUM(BE10:BE27)</f>
        <v>3141233</v>
      </c>
      <c r="BF28" s="1825">
        <f>SUM(BF10:BF27)</f>
        <v>3007278</v>
      </c>
      <c r="BG28" s="1826">
        <f t="shared" si="9"/>
        <v>0.95735591724650793</v>
      </c>
      <c r="BH28" s="886"/>
      <c r="BI28" s="886"/>
      <c r="BJ28" s="886"/>
      <c r="BK28" s="886"/>
      <c r="BL28" s="886"/>
      <c r="BM28" s="886"/>
    </row>
    <row r="29" spans="1:65" ht="57" customHeight="1" thickBot="1" x14ac:dyDescent="0.8">
      <c r="A29" s="1827" t="s">
        <v>115</v>
      </c>
      <c r="B29" s="1828">
        <f>'[4]int.bevételek RM I'!B29</f>
        <v>608901</v>
      </c>
      <c r="C29" s="1815">
        <f>'[4]int.bevételek RM III'!D29</f>
        <v>576476</v>
      </c>
      <c r="D29" s="1828">
        <v>576475</v>
      </c>
      <c r="E29" s="1829">
        <f t="shared" si="0"/>
        <v>0.99999826532240721</v>
      </c>
      <c r="F29" s="1828">
        <f>'[4]int.bevételek RM I'!E29</f>
        <v>0</v>
      </c>
      <c r="G29" s="1815">
        <f>'[4]int.bevételek RM III'!G29</f>
        <v>2998</v>
      </c>
      <c r="H29" s="1828">
        <f>2997+1</f>
        <v>2998</v>
      </c>
      <c r="I29" s="1829">
        <f>H29/G29</f>
        <v>1</v>
      </c>
      <c r="J29" s="1828">
        <f>'[4]int.bevételek RM I'!H29</f>
        <v>0</v>
      </c>
      <c r="K29" s="1815">
        <f>'[4]int.bevételek RM III'!J29</f>
        <v>0</v>
      </c>
      <c r="L29" s="1828"/>
      <c r="M29" s="1829"/>
      <c r="N29" s="1828">
        <f>'[4]int.bevételek RM I'!K29</f>
        <v>0</v>
      </c>
      <c r="O29" s="1828">
        <f>'[4]int.bevételek RM III'!M29</f>
        <v>0</v>
      </c>
      <c r="P29" s="1828"/>
      <c r="Q29" s="1829"/>
      <c r="R29" s="1817">
        <f>B29+F29+J29+N29</f>
        <v>608901</v>
      </c>
      <c r="S29" s="1817">
        <f>C29+G29+K29+O29</f>
        <v>579474</v>
      </c>
      <c r="T29" s="1817">
        <f>D29+H29+L29+P29</f>
        <v>579473</v>
      </c>
      <c r="U29" s="1826">
        <f t="shared" si="1"/>
        <v>0.99999827429703492</v>
      </c>
      <c r="V29" s="1827" t="s">
        <v>115</v>
      </c>
      <c r="W29" s="1828">
        <f>'[4]int.bevételek RM I'!R29</f>
        <v>0</v>
      </c>
      <c r="X29" s="1828">
        <f>'[4]int.bevételek RM III'!T29</f>
        <v>160</v>
      </c>
      <c r="Y29" s="1828">
        <v>160</v>
      </c>
      <c r="Z29" s="1829">
        <f>Y29/X29</f>
        <v>1</v>
      </c>
      <c r="AA29" s="1828">
        <f>'[4]int.bevételek RM I'!U29</f>
        <v>0</v>
      </c>
      <c r="AB29" s="1828">
        <f>'[4]int.bevételek RM III'!W29</f>
        <v>0</v>
      </c>
      <c r="AC29" s="1828"/>
      <c r="AD29" s="1829"/>
      <c r="AE29" s="1828">
        <f>'[4]int.bevételek RM I'!X29</f>
        <v>0</v>
      </c>
      <c r="AF29" s="1828">
        <f>'[4]int.bevételek RM III'!Z29</f>
        <v>0</v>
      </c>
      <c r="AG29" s="1828"/>
      <c r="AH29" s="1829"/>
      <c r="AI29" s="1817">
        <f>W29+AA29+AE29</f>
        <v>0</v>
      </c>
      <c r="AJ29" s="1817">
        <f>X29+AB29+AF29</f>
        <v>160</v>
      </c>
      <c r="AK29" s="1817">
        <f>Y29+AC29+AG29</f>
        <v>160</v>
      </c>
      <c r="AL29" s="1826"/>
      <c r="AM29" s="1828"/>
      <c r="AN29" s="1815">
        <f>'[4]int.bevételek RM III'!AJ29</f>
        <v>44709</v>
      </c>
      <c r="AO29" s="1828">
        <v>44709</v>
      </c>
      <c r="AP29" s="1829">
        <f t="shared" si="3"/>
        <v>1</v>
      </c>
      <c r="AQ29" s="1827" t="s">
        <v>115</v>
      </c>
      <c r="AR29" s="1828">
        <f>'[4]int.bevételek RM I'!AK29</f>
        <v>1675504</v>
      </c>
      <c r="AS29" s="1815">
        <f>'[4]int.bevételek RM III'!AM29</f>
        <v>1693861</v>
      </c>
      <c r="AT29" s="1828">
        <f>1700026-46028</f>
        <v>1653998</v>
      </c>
      <c r="AU29" s="1829">
        <f t="shared" si="4"/>
        <v>0.97646619173592164</v>
      </c>
      <c r="AV29" s="1828">
        <f>'[4]int.bevételek RM I'!AN29</f>
        <v>0</v>
      </c>
      <c r="AW29" s="1815">
        <f>'[4]int.bevételek RM III'!AP29</f>
        <v>94708</v>
      </c>
      <c r="AX29" s="1828">
        <v>46028</v>
      </c>
      <c r="AY29" s="1829">
        <f>AX29/AW29</f>
        <v>0.48599907082822991</v>
      </c>
      <c r="AZ29" s="1817">
        <f>AR29+AV29</f>
        <v>1675504</v>
      </c>
      <c r="BA29" s="1817">
        <f>AS29+AW29</f>
        <v>1788569</v>
      </c>
      <c r="BB29" s="1817">
        <f>AT29+AX29</f>
        <v>1700026</v>
      </c>
      <c r="BC29" s="1826">
        <f t="shared" si="7"/>
        <v>0.95049506057636024</v>
      </c>
      <c r="BD29" s="1817">
        <f>R29+AI29+AM29+AZ29</f>
        <v>2284405</v>
      </c>
      <c r="BE29" s="1817">
        <f>S29+AJ29+AN29+BA29</f>
        <v>2412912</v>
      </c>
      <c r="BF29" s="1817">
        <f>T29+AK29+AO29+BB29</f>
        <v>2324368</v>
      </c>
      <c r="BG29" s="1826">
        <f t="shared" si="9"/>
        <v>0.96330409065892164</v>
      </c>
      <c r="BH29" s="886"/>
      <c r="BI29" s="886"/>
      <c r="BJ29" s="886"/>
      <c r="BK29" s="886"/>
      <c r="BL29" s="886"/>
      <c r="BM29" s="886"/>
    </row>
    <row r="30" spans="1:65" ht="57" customHeight="1" thickBot="1" x14ac:dyDescent="0.8">
      <c r="A30" s="1824" t="s">
        <v>1163</v>
      </c>
      <c r="B30" s="1825">
        <f>SUM(B28:B29)</f>
        <v>628201</v>
      </c>
      <c r="C30" s="1825">
        <f>SUM(C28:C29)</f>
        <v>608183</v>
      </c>
      <c r="D30" s="1825">
        <f>SUM(D28:D29)</f>
        <v>608161</v>
      </c>
      <c r="E30" s="1830">
        <f t="shared" si="0"/>
        <v>0.99996382667716788</v>
      </c>
      <c r="F30" s="1825">
        <f>SUM(F28:F29)</f>
        <v>0</v>
      </c>
      <c r="G30" s="1825">
        <f>SUM(G28:G29)</f>
        <v>3743</v>
      </c>
      <c r="H30" s="1825">
        <f>SUM(H28:H29)</f>
        <v>3738</v>
      </c>
      <c r="I30" s="1830">
        <f>H30/G30</f>
        <v>0.99866417312316325</v>
      </c>
      <c r="J30" s="1825">
        <f>SUM(J28:J29)</f>
        <v>0</v>
      </c>
      <c r="K30" s="1825">
        <f>SUM(K28:K29)</f>
        <v>1054</v>
      </c>
      <c r="L30" s="1825">
        <f>SUM(L28:L29)</f>
        <v>1053</v>
      </c>
      <c r="M30" s="1830">
        <f>L30/K30</f>
        <v>0.99905123339658441</v>
      </c>
      <c r="N30" s="1825">
        <f>SUM(N28:N29)</f>
        <v>0</v>
      </c>
      <c r="O30" s="1825">
        <f>SUM(O28:O29)</f>
        <v>0</v>
      </c>
      <c r="P30" s="1825">
        <f>SUM(P28:P29)</f>
        <v>0</v>
      </c>
      <c r="Q30" s="1830"/>
      <c r="R30" s="1825">
        <f>SUM(R28:R29)</f>
        <v>628201</v>
      </c>
      <c r="S30" s="1825">
        <f>SUM(S28:S29)</f>
        <v>612980</v>
      </c>
      <c r="T30" s="1825">
        <f>SUM(T28:T29)</f>
        <v>612952</v>
      </c>
      <c r="U30" s="1830">
        <f t="shared" si="1"/>
        <v>0.99995432151130548</v>
      </c>
      <c r="V30" s="1824" t="s">
        <v>1163</v>
      </c>
      <c r="W30" s="1825">
        <f>SUM(W28:W29)</f>
        <v>0</v>
      </c>
      <c r="X30" s="1825">
        <f>SUM(X28:X29)</f>
        <v>160</v>
      </c>
      <c r="Y30" s="1825">
        <f>SUM(Y28:Y29)</f>
        <v>160</v>
      </c>
      <c r="Z30" s="1830"/>
      <c r="AA30" s="1825">
        <f>SUM(AA28:AA29)</f>
        <v>0</v>
      </c>
      <c r="AB30" s="1825">
        <f>SUM(AB28:AB29)</f>
        <v>0</v>
      </c>
      <c r="AC30" s="1825">
        <f>SUM(AC28:AC29)</f>
        <v>0</v>
      </c>
      <c r="AD30" s="1830"/>
      <c r="AE30" s="1825">
        <f>SUM(AE28:AE29)</f>
        <v>0</v>
      </c>
      <c r="AF30" s="1825">
        <f>SUM(AF28:AF29)</f>
        <v>0</v>
      </c>
      <c r="AG30" s="1825">
        <f>SUM(AG28:AG29)</f>
        <v>0</v>
      </c>
      <c r="AH30" s="1826"/>
      <c r="AI30" s="1825">
        <f>AI28+AI29</f>
        <v>0</v>
      </c>
      <c r="AJ30" s="1825">
        <f>AJ28+AJ29</f>
        <v>160</v>
      </c>
      <c r="AK30" s="1825">
        <f>AK28+AK29</f>
        <v>160</v>
      </c>
      <c r="AL30" s="1830"/>
      <c r="AM30" s="1825">
        <f>SUM(AM28:AM29)</f>
        <v>0</v>
      </c>
      <c r="AN30" s="1825">
        <f>SUM(AN28:AN29)</f>
        <v>68998</v>
      </c>
      <c r="AO30" s="1825">
        <f>SUM(AO28:AO29)</f>
        <v>68997</v>
      </c>
      <c r="AP30" s="1830">
        <f t="shared" si="3"/>
        <v>0.99998550682628484</v>
      </c>
      <c r="AQ30" s="1824" t="s">
        <v>1163</v>
      </c>
      <c r="AR30" s="1825">
        <f>SUM(AR28:AR29)</f>
        <v>4638908</v>
      </c>
      <c r="AS30" s="1825">
        <f>SUM(AS28:AS29)</f>
        <v>4731593</v>
      </c>
      <c r="AT30" s="1825">
        <f>SUM(AT28:AT29)</f>
        <v>4568096</v>
      </c>
      <c r="AU30" s="1830">
        <f t="shared" si="4"/>
        <v>0.96544567548392268</v>
      </c>
      <c r="AV30" s="1825">
        <f>SUM(AV28:AV29)</f>
        <v>0</v>
      </c>
      <c r="AW30" s="1825">
        <f>SUM(AW28:AW29)</f>
        <v>140414</v>
      </c>
      <c r="AX30" s="1825">
        <f>SUM(AX28:AX29)</f>
        <v>81441</v>
      </c>
      <c r="AY30" s="1830">
        <f>AX30/AW30</f>
        <v>0.58000626718133519</v>
      </c>
      <c r="AZ30" s="1825">
        <f>AZ28+AZ29</f>
        <v>4638908</v>
      </c>
      <c r="BA30" s="1825">
        <f>BA28+BA29</f>
        <v>4872007</v>
      </c>
      <c r="BB30" s="1825">
        <f>BB28+BB29</f>
        <v>4649537</v>
      </c>
      <c r="BC30" s="1830">
        <f t="shared" si="7"/>
        <v>0.95433709352223839</v>
      </c>
      <c r="BD30" s="1825">
        <f>BD28+BD29</f>
        <v>5267109</v>
      </c>
      <c r="BE30" s="1825">
        <f>BE28+BE29</f>
        <v>5554145</v>
      </c>
      <c r="BF30" s="1825">
        <f>BF28+BF29</f>
        <v>5331646</v>
      </c>
      <c r="BG30" s="1830">
        <f t="shared" si="9"/>
        <v>0.95994000876822627</v>
      </c>
      <c r="BH30" s="886"/>
      <c r="BI30" s="886"/>
      <c r="BJ30" s="886"/>
      <c r="BK30" s="886"/>
      <c r="BL30" s="886"/>
      <c r="BM30" s="886"/>
    </row>
    <row r="31" spans="1:65" ht="57" customHeight="1" x14ac:dyDescent="0.75">
      <c r="A31" s="1831" t="s">
        <v>1164</v>
      </c>
      <c r="B31" s="1832"/>
      <c r="C31" s="1832"/>
      <c r="D31" s="1832"/>
      <c r="E31" s="1832"/>
      <c r="F31" s="1832"/>
      <c r="G31" s="1832"/>
      <c r="H31" s="1832"/>
      <c r="I31" s="1832"/>
      <c r="J31" s="1832"/>
      <c r="K31" s="1832"/>
      <c r="L31" s="1832"/>
      <c r="M31" s="1832"/>
      <c r="N31" s="1832"/>
      <c r="O31" s="1832"/>
      <c r="P31" s="1832"/>
      <c r="Q31" s="1832"/>
      <c r="R31" s="1832"/>
      <c r="S31" s="1832"/>
      <c r="T31" s="1832"/>
      <c r="U31" s="1832"/>
      <c r="V31" s="1831" t="s">
        <v>1164</v>
      </c>
      <c r="W31" s="1832"/>
      <c r="X31" s="1832"/>
      <c r="Y31" s="1832"/>
      <c r="Z31" s="1832"/>
      <c r="AA31" s="1832"/>
      <c r="AB31" s="1832"/>
      <c r="AC31" s="1832"/>
      <c r="AD31" s="1832"/>
      <c r="AE31" s="1832"/>
      <c r="AF31" s="1832"/>
      <c r="AG31" s="1832"/>
      <c r="AH31" s="1832"/>
      <c r="AI31" s="1832"/>
      <c r="AJ31" s="1832"/>
      <c r="AK31" s="1832"/>
      <c r="AL31" s="1832"/>
      <c r="AM31" s="1832"/>
      <c r="AN31" s="1832"/>
      <c r="AO31" s="1832"/>
      <c r="AP31" s="1832"/>
      <c r="AQ31" s="1831" t="s">
        <v>1164</v>
      </c>
      <c r="AR31" s="1832"/>
      <c r="AS31" s="1832"/>
      <c r="AT31" s="1832"/>
      <c r="AU31" s="1832"/>
      <c r="AV31" s="1832"/>
      <c r="AW31" s="1832"/>
      <c r="AX31" s="1832"/>
      <c r="AY31" s="1832"/>
      <c r="AZ31" s="1832"/>
      <c r="BA31" s="1832"/>
      <c r="BB31" s="1832"/>
      <c r="BC31" s="1832"/>
      <c r="BD31" s="1832"/>
      <c r="BE31" s="1832"/>
      <c r="BF31" s="1832"/>
      <c r="BG31" s="1832"/>
      <c r="BH31" s="886"/>
      <c r="BI31" s="886"/>
      <c r="BJ31" s="886"/>
      <c r="BK31" s="886"/>
      <c r="BL31" s="886"/>
      <c r="BM31" s="886"/>
    </row>
    <row r="32" spans="1:65" ht="57" customHeight="1" x14ac:dyDescent="0.75">
      <c r="A32" s="1833" t="s">
        <v>1165</v>
      </c>
      <c r="B32" s="1832"/>
      <c r="C32" s="1832"/>
      <c r="D32" s="1832"/>
      <c r="E32" s="1832"/>
      <c r="F32" s="1832"/>
      <c r="G32" s="1832"/>
      <c r="H32" s="1832"/>
      <c r="I32" s="1832"/>
      <c r="J32" s="1832"/>
      <c r="K32" s="1832"/>
      <c r="L32" s="1832"/>
      <c r="M32" s="1832"/>
      <c r="N32" s="1832"/>
      <c r="O32" s="1832"/>
      <c r="P32" s="1832"/>
      <c r="Q32" s="1832"/>
      <c r="R32" s="1832"/>
      <c r="S32" s="1832"/>
      <c r="T32" s="1832"/>
      <c r="U32" s="1832"/>
      <c r="V32" s="1833" t="s">
        <v>1165</v>
      </c>
      <c r="W32" s="1832"/>
      <c r="X32" s="1832"/>
      <c r="Y32" s="1832"/>
      <c r="Z32" s="1832"/>
      <c r="AA32" s="1832"/>
      <c r="AB32" s="1832"/>
      <c r="AC32" s="1832"/>
      <c r="AD32" s="1832"/>
      <c r="AE32" s="1832"/>
      <c r="AF32" s="1832"/>
      <c r="AG32" s="1832"/>
      <c r="AH32" s="1832"/>
      <c r="AI32" s="1832"/>
      <c r="AJ32" s="1832"/>
      <c r="AK32" s="1832"/>
      <c r="AL32" s="1832"/>
      <c r="AM32" s="1832"/>
      <c r="AN32" s="1832"/>
      <c r="AO32" s="1832"/>
      <c r="AP32" s="1832"/>
      <c r="AQ32" s="1833" t="s">
        <v>1165</v>
      </c>
      <c r="AR32" s="1832"/>
      <c r="AS32" s="1832"/>
      <c r="AT32" s="1832"/>
      <c r="AU32" s="1832"/>
      <c r="AV32" s="1832"/>
      <c r="AW32" s="1832"/>
      <c r="AX32" s="1832"/>
      <c r="AY32" s="1832"/>
      <c r="AZ32" s="1832"/>
      <c r="BA32" s="1832"/>
      <c r="BB32" s="1832"/>
      <c r="BC32" s="1832"/>
      <c r="BD32" s="1832"/>
      <c r="BE32" s="1832"/>
      <c r="BF32" s="1832"/>
      <c r="BG32" s="1832"/>
      <c r="BH32" s="886"/>
      <c r="BI32" s="886"/>
      <c r="BJ32" s="886"/>
      <c r="BK32" s="886"/>
      <c r="BL32" s="886"/>
      <c r="BM32" s="886"/>
    </row>
    <row r="33" spans="1:65" ht="57" customHeight="1" x14ac:dyDescent="0.75">
      <c r="A33" s="1834" t="s">
        <v>195</v>
      </c>
      <c r="B33" s="1815">
        <f>'[4]int.bevételek RM I'!B33</f>
        <v>28471</v>
      </c>
      <c r="C33" s="1815">
        <f>'[4]int.bevételek RM III'!D33</f>
        <v>56879</v>
      </c>
      <c r="D33" s="1815">
        <v>56878</v>
      </c>
      <c r="E33" s="1816">
        <f>D33/C33</f>
        <v>0.99998241881889627</v>
      </c>
      <c r="F33" s="1815">
        <f>'[4]int.bevételek RM I'!E33</f>
        <v>0</v>
      </c>
      <c r="G33" s="1815">
        <f>'[4]int.bevételek RM III'!G33</f>
        <v>26495</v>
      </c>
      <c r="H33" s="1815">
        <v>26495</v>
      </c>
      <c r="I33" s="1816">
        <f>H33/G33</f>
        <v>1</v>
      </c>
      <c r="J33" s="1815">
        <f>'[4]int.bevételek RM I'!H33</f>
        <v>0</v>
      </c>
      <c r="K33" s="1815">
        <f>'[4]int.bevételek RM III'!J33</f>
        <v>30</v>
      </c>
      <c r="L33" s="1815">
        <v>30</v>
      </c>
      <c r="M33" s="1835">
        <f>L33/K33</f>
        <v>1</v>
      </c>
      <c r="N33" s="1815">
        <f>'[4]int.bevételek RM I'!K33</f>
        <v>0</v>
      </c>
      <c r="O33" s="1815">
        <f>'[4]int.bevételek RM III'!M33</f>
        <v>0</v>
      </c>
      <c r="P33" s="1815"/>
      <c r="Q33" s="1816"/>
      <c r="R33" s="1817">
        <f t="shared" ref="R33:T36" si="11">B33+F33+J33+N33</f>
        <v>28471</v>
      </c>
      <c r="S33" s="1817">
        <f t="shared" si="11"/>
        <v>83404</v>
      </c>
      <c r="T33" s="1817">
        <f t="shared" si="11"/>
        <v>83403</v>
      </c>
      <c r="U33" s="1818">
        <f>T33/S33</f>
        <v>0.99998801016737804</v>
      </c>
      <c r="V33" s="1834" t="s">
        <v>195</v>
      </c>
      <c r="W33" s="1815">
        <f>'[4]int.bevételek RM I'!R33</f>
        <v>0</v>
      </c>
      <c r="X33" s="1815">
        <f>'[4]int.bevételek RM III'!T33</f>
        <v>0</v>
      </c>
      <c r="Y33" s="1815"/>
      <c r="Z33" s="1816"/>
      <c r="AA33" s="1815">
        <f>'[4]int.bevételek RM I'!U33</f>
        <v>0</v>
      </c>
      <c r="AB33" s="1815">
        <f>'[4]int.bevételek RM III'!W33</f>
        <v>0</v>
      </c>
      <c r="AC33" s="1815"/>
      <c r="AD33" s="1816"/>
      <c r="AE33" s="1815">
        <f>'[4]int.bevételek RM I'!X33</f>
        <v>0</v>
      </c>
      <c r="AF33" s="1815">
        <f>'[4]int.bevételek RM III'!Z33</f>
        <v>0</v>
      </c>
      <c r="AG33" s="1815"/>
      <c r="AH33" s="1816"/>
      <c r="AI33" s="1817">
        <f t="shared" ref="AI33:AK36" si="12">W33+AA33+AE33</f>
        <v>0</v>
      </c>
      <c r="AJ33" s="1817">
        <f t="shared" si="12"/>
        <v>0</v>
      </c>
      <c r="AK33" s="1817">
        <f t="shared" si="12"/>
        <v>0</v>
      </c>
      <c r="AL33" s="1818"/>
      <c r="AM33" s="1815"/>
      <c r="AN33" s="1815">
        <f>'[4]int.bevételek RM III'!AJ33</f>
        <v>24080</v>
      </c>
      <c r="AO33" s="1815">
        <v>24080</v>
      </c>
      <c r="AP33" s="1816">
        <f>AO33/AN33</f>
        <v>1</v>
      </c>
      <c r="AQ33" s="1834" t="s">
        <v>195</v>
      </c>
      <c r="AR33" s="1815">
        <f>'[4]int.bevételek RM I'!AK33</f>
        <v>133730</v>
      </c>
      <c r="AS33" s="1815">
        <f>'[4]int.bevételek RM III'!AM33</f>
        <v>163279</v>
      </c>
      <c r="AT33" s="1815">
        <f>148155-651</f>
        <v>147504</v>
      </c>
      <c r="AU33" s="1816">
        <f>AT33/AS33</f>
        <v>0.90338622848008621</v>
      </c>
      <c r="AV33" s="1815">
        <f>'[4]int.bevételek RM I'!AN33</f>
        <v>0</v>
      </c>
      <c r="AW33" s="1815">
        <f>'[4]int.bevételek RM III'!AP33</f>
        <v>652</v>
      </c>
      <c r="AX33" s="1815">
        <v>651</v>
      </c>
      <c r="AY33" s="1816">
        <f>AX33/AW33</f>
        <v>0.99846625766871167</v>
      </c>
      <c r="AZ33" s="1817">
        <f t="shared" ref="AZ33:BB36" si="13">AR33+AV33</f>
        <v>133730</v>
      </c>
      <c r="BA33" s="1817">
        <f t="shared" si="13"/>
        <v>163931</v>
      </c>
      <c r="BB33" s="1817">
        <f t="shared" si="13"/>
        <v>148155</v>
      </c>
      <c r="BC33" s="1818">
        <f>BB33/BA33</f>
        <v>0.90376438867572328</v>
      </c>
      <c r="BD33" s="1817">
        <f t="shared" ref="BD33:BF36" si="14">R33+AI33+AM33+AZ33</f>
        <v>162201</v>
      </c>
      <c r="BE33" s="1817">
        <f t="shared" si="14"/>
        <v>271415</v>
      </c>
      <c r="BF33" s="1817">
        <f t="shared" si="14"/>
        <v>255638</v>
      </c>
      <c r="BG33" s="1818">
        <f>BF33/BE33</f>
        <v>0.94187130409152031</v>
      </c>
      <c r="BH33" s="886"/>
      <c r="BI33" s="886"/>
      <c r="BJ33" s="886"/>
      <c r="BK33" s="886"/>
      <c r="BL33" s="886"/>
      <c r="BM33" s="886"/>
    </row>
    <row r="34" spans="1:65" ht="57" customHeight="1" x14ac:dyDescent="0.75">
      <c r="A34" s="1836" t="s">
        <v>1166</v>
      </c>
      <c r="B34" s="1837">
        <f>'[4]int.bevételek RM I'!B34</f>
        <v>102344</v>
      </c>
      <c r="C34" s="1815">
        <f>'[4]int.bevételek RM III'!D34</f>
        <v>130801</v>
      </c>
      <c r="D34" s="1837">
        <v>130890</v>
      </c>
      <c r="E34" s="1816">
        <f>D34/C34</f>
        <v>1.0006804229325463</v>
      </c>
      <c r="F34" s="1837">
        <f>'[4]int.bevételek RM I'!E34</f>
        <v>0</v>
      </c>
      <c r="G34" s="1815">
        <f>'[4]int.bevételek RM III'!G34</f>
        <v>168734</v>
      </c>
      <c r="H34" s="1837">
        <v>168734</v>
      </c>
      <c r="I34" s="1816">
        <f>H34/G34</f>
        <v>1</v>
      </c>
      <c r="J34" s="1837">
        <f>'[4]int.bevételek RM I'!H34</f>
        <v>0</v>
      </c>
      <c r="K34" s="1815">
        <f>'[4]int.bevételek RM III'!J34</f>
        <v>20011</v>
      </c>
      <c r="L34" s="1837">
        <v>20011</v>
      </c>
      <c r="M34" s="1835">
        <f>L34/K34</f>
        <v>1</v>
      </c>
      <c r="N34" s="1837">
        <f>'[4]int.bevételek RM I'!K34</f>
        <v>0</v>
      </c>
      <c r="O34" s="1837">
        <f>'[4]int.bevételek RM III'!M34</f>
        <v>0</v>
      </c>
      <c r="P34" s="1815"/>
      <c r="Q34" s="1816"/>
      <c r="R34" s="1817">
        <f t="shared" si="11"/>
        <v>102344</v>
      </c>
      <c r="S34" s="1817">
        <f t="shared" si="11"/>
        <v>319546</v>
      </c>
      <c r="T34" s="1817">
        <f t="shared" si="11"/>
        <v>319635</v>
      </c>
      <c r="U34" s="1818">
        <f>T34/S34</f>
        <v>1.0002785201504634</v>
      </c>
      <c r="V34" s="1836" t="s">
        <v>1166</v>
      </c>
      <c r="W34" s="1837">
        <f>'[4]int.bevételek RM I'!R34</f>
        <v>0</v>
      </c>
      <c r="X34" s="1837">
        <f>'[4]int.bevételek RM III'!T34</f>
        <v>10280</v>
      </c>
      <c r="Y34" s="1837">
        <v>10280</v>
      </c>
      <c r="Z34" s="1816">
        <f>Y34/X34</f>
        <v>1</v>
      </c>
      <c r="AA34" s="1837">
        <f>'[4]int.bevételek RM I'!U34</f>
        <v>0</v>
      </c>
      <c r="AB34" s="1837">
        <f>'[4]int.bevételek RM III'!W34</f>
        <v>33000</v>
      </c>
      <c r="AC34" s="1837">
        <v>33000</v>
      </c>
      <c r="AD34" s="1816">
        <f>AC34/AB34</f>
        <v>1</v>
      </c>
      <c r="AE34" s="1837">
        <f>'[4]int.bevételek RM I'!X34</f>
        <v>0</v>
      </c>
      <c r="AF34" s="1837">
        <f>'[4]int.bevételek RM III'!Z34</f>
        <v>0</v>
      </c>
      <c r="AG34" s="1837"/>
      <c r="AH34" s="1816"/>
      <c r="AI34" s="1817">
        <f t="shared" si="12"/>
        <v>0</v>
      </c>
      <c r="AJ34" s="1817">
        <f t="shared" si="12"/>
        <v>43280</v>
      </c>
      <c r="AK34" s="1817">
        <f t="shared" si="12"/>
        <v>43280</v>
      </c>
      <c r="AL34" s="1818">
        <f>AK34/AJ34</f>
        <v>1</v>
      </c>
      <c r="AM34" s="1837"/>
      <c r="AN34" s="1815">
        <f>'[4]int.bevételek RM III'!AJ34</f>
        <v>218853</v>
      </c>
      <c r="AO34" s="1837">
        <v>218854</v>
      </c>
      <c r="AP34" s="1816">
        <f>AO34/AN34</f>
        <v>1.0000045692770947</v>
      </c>
      <c r="AQ34" s="1836" t="s">
        <v>1166</v>
      </c>
      <c r="AR34" s="1837">
        <f>'[4]int.bevételek RM I'!AK34</f>
        <v>454971</v>
      </c>
      <c r="AS34" s="1815">
        <f>'[4]int.bevételek RM III'!AM34</f>
        <v>508414</v>
      </c>
      <c r="AT34" s="1837">
        <f>500128-28996</f>
        <v>471132</v>
      </c>
      <c r="AU34" s="1816">
        <f>AT34/AS34</f>
        <v>0.92666999728567667</v>
      </c>
      <c r="AV34" s="1837">
        <f>'[4]int.bevételek RM I'!AN34</f>
        <v>0</v>
      </c>
      <c r="AW34" s="1815">
        <f>'[4]int.bevételek RM III'!AP34</f>
        <v>31282</v>
      </c>
      <c r="AX34" s="1837">
        <v>28996</v>
      </c>
      <c r="AY34" s="1816">
        <f>AX34/AW34</f>
        <v>0.92692283102103445</v>
      </c>
      <c r="AZ34" s="1817">
        <f t="shared" si="13"/>
        <v>454971</v>
      </c>
      <c r="BA34" s="1817">
        <f t="shared" si="13"/>
        <v>539696</v>
      </c>
      <c r="BB34" s="1817">
        <f t="shared" si="13"/>
        <v>500128</v>
      </c>
      <c r="BC34" s="1818">
        <f>BB34/BA34</f>
        <v>0.92668465210044171</v>
      </c>
      <c r="BD34" s="1817">
        <f t="shared" si="14"/>
        <v>557315</v>
      </c>
      <c r="BE34" s="1817">
        <f t="shared" si="14"/>
        <v>1121375</v>
      </c>
      <c r="BF34" s="1817">
        <f t="shared" si="14"/>
        <v>1081897</v>
      </c>
      <c r="BG34" s="1818">
        <f>BF34/BE34</f>
        <v>0.96479500613086611</v>
      </c>
      <c r="BH34" s="886"/>
      <c r="BI34" s="886"/>
      <c r="BJ34" s="886"/>
      <c r="BK34" s="886"/>
      <c r="BL34" s="886"/>
      <c r="BM34" s="886"/>
    </row>
    <row r="35" spans="1:65" ht="57" customHeight="1" x14ac:dyDescent="0.75">
      <c r="A35" s="1836" t="s">
        <v>414</v>
      </c>
      <c r="B35" s="1837">
        <f>'[4]int.bevételek RM I'!B35</f>
        <v>26100</v>
      </c>
      <c r="C35" s="1815">
        <f>'[4]int.bevételek RM III'!D35</f>
        <v>37857</v>
      </c>
      <c r="D35" s="1837">
        <v>37857</v>
      </c>
      <c r="E35" s="1816">
        <f>D35/C35</f>
        <v>1</v>
      </c>
      <c r="F35" s="1837">
        <f>'[4]int.bevételek RM I'!E35</f>
        <v>0</v>
      </c>
      <c r="G35" s="1815">
        <f>'[4]int.bevételek RM III'!G35</f>
        <v>17644</v>
      </c>
      <c r="H35" s="1837">
        <v>17644</v>
      </c>
      <c r="I35" s="1816">
        <f>H35/G35</f>
        <v>1</v>
      </c>
      <c r="J35" s="1837">
        <f>'[4]int.bevételek RM I'!H35</f>
        <v>0</v>
      </c>
      <c r="K35" s="1815">
        <f>'[4]int.bevételek RM III'!J35</f>
        <v>0</v>
      </c>
      <c r="L35" s="1837"/>
      <c r="M35" s="1835"/>
      <c r="N35" s="1837">
        <f>'[4]int.bevételek RM I'!K35</f>
        <v>0</v>
      </c>
      <c r="O35" s="1837">
        <f>'[4]int.bevételek RM III'!M35</f>
        <v>0</v>
      </c>
      <c r="P35" s="1815"/>
      <c r="Q35" s="1816"/>
      <c r="R35" s="1817">
        <f t="shared" si="11"/>
        <v>26100</v>
      </c>
      <c r="S35" s="1817">
        <f t="shared" si="11"/>
        <v>55501</v>
      </c>
      <c r="T35" s="1817">
        <f t="shared" si="11"/>
        <v>55501</v>
      </c>
      <c r="U35" s="1818">
        <f>T35/S35</f>
        <v>1</v>
      </c>
      <c r="V35" s="1836" t="s">
        <v>414</v>
      </c>
      <c r="W35" s="1837">
        <f>'[4]int.bevételek RM I'!R35</f>
        <v>0</v>
      </c>
      <c r="X35" s="1837">
        <f>'[4]int.bevételek RM III'!T35</f>
        <v>0</v>
      </c>
      <c r="Y35" s="1837"/>
      <c r="Z35" s="1838"/>
      <c r="AA35" s="1837">
        <f>'[4]int.bevételek RM I'!U35</f>
        <v>0</v>
      </c>
      <c r="AB35" s="1837">
        <f>'[4]int.bevételek RM III'!W35</f>
        <v>0</v>
      </c>
      <c r="AC35" s="1837"/>
      <c r="AD35" s="1816"/>
      <c r="AE35" s="1837">
        <f>'[4]int.bevételek RM I'!X35</f>
        <v>0</v>
      </c>
      <c r="AF35" s="1837">
        <f>'[4]int.bevételek RM III'!Z35</f>
        <v>0</v>
      </c>
      <c r="AG35" s="1837"/>
      <c r="AH35" s="1816"/>
      <c r="AI35" s="1817">
        <f t="shared" si="12"/>
        <v>0</v>
      </c>
      <c r="AJ35" s="1817">
        <f t="shared" si="12"/>
        <v>0</v>
      </c>
      <c r="AK35" s="1817">
        <f t="shared" si="12"/>
        <v>0</v>
      </c>
      <c r="AL35" s="1818"/>
      <c r="AM35" s="1837"/>
      <c r="AN35" s="1815">
        <f>'[4]int.bevételek RM III'!AJ35</f>
        <v>30277</v>
      </c>
      <c r="AO35" s="1837">
        <v>30277</v>
      </c>
      <c r="AP35" s="1816">
        <f>AO35/AN35</f>
        <v>1</v>
      </c>
      <c r="AQ35" s="1836" t="s">
        <v>414</v>
      </c>
      <c r="AR35" s="1837">
        <f>'[4]int.bevételek RM I'!AK35</f>
        <v>289784</v>
      </c>
      <c r="AS35" s="1815">
        <f>'[4]int.bevételek RM III'!AM35</f>
        <v>483696</v>
      </c>
      <c r="AT35" s="1837">
        <f>495908-17041</f>
        <v>478867</v>
      </c>
      <c r="AU35" s="1816">
        <f>AT35/AS35</f>
        <v>0.99001645661737947</v>
      </c>
      <c r="AV35" s="1837">
        <f>'[4]int.bevételek RM I'!AN35</f>
        <v>0</v>
      </c>
      <c r="AW35" s="1815">
        <f>'[4]int.bevételek RM III'!AP35</f>
        <v>17042</v>
      </c>
      <c r="AX35" s="1837">
        <v>17041</v>
      </c>
      <c r="AY35" s="1816">
        <f>AX35/AW35</f>
        <v>0.99994132144114545</v>
      </c>
      <c r="AZ35" s="1817">
        <f t="shared" si="13"/>
        <v>289784</v>
      </c>
      <c r="BA35" s="1817">
        <f t="shared" si="13"/>
        <v>500738</v>
      </c>
      <c r="BB35" s="1817">
        <f t="shared" si="13"/>
        <v>495908</v>
      </c>
      <c r="BC35" s="1818">
        <f>BB35/BA35</f>
        <v>0.99035423714597259</v>
      </c>
      <c r="BD35" s="1817">
        <f t="shared" si="14"/>
        <v>315884</v>
      </c>
      <c r="BE35" s="1817">
        <f t="shared" si="14"/>
        <v>586516</v>
      </c>
      <c r="BF35" s="1817">
        <f t="shared" si="14"/>
        <v>581686</v>
      </c>
      <c r="BG35" s="1818">
        <f>BF35/BE35</f>
        <v>0.99176493053897929</v>
      </c>
      <c r="BH35" s="886"/>
      <c r="BI35" s="886"/>
      <c r="BJ35" s="886"/>
      <c r="BK35" s="886"/>
      <c r="BL35" s="886"/>
      <c r="BM35" s="886"/>
    </row>
    <row r="36" spans="1:65" ht="57" customHeight="1" thickBot="1" x14ac:dyDescent="0.8">
      <c r="A36" s="1839" t="s">
        <v>1167</v>
      </c>
      <c r="B36" s="1837">
        <f>'[4]int.bevételek RM I'!B36</f>
        <v>154078</v>
      </c>
      <c r="C36" s="1815">
        <f>'[4]int.bevételek RM III'!D36</f>
        <v>154078</v>
      </c>
      <c r="D36" s="1837">
        <v>105986</v>
      </c>
      <c r="E36" s="1821">
        <f>D36/C36</f>
        <v>0.68787237632887244</v>
      </c>
      <c r="F36" s="1837">
        <f>'[4]int.bevételek RM I'!E36</f>
        <v>0</v>
      </c>
      <c r="G36" s="1815">
        <f>'[4]int.bevételek RM III'!G36</f>
        <v>113694</v>
      </c>
      <c r="H36" s="1837">
        <v>113694</v>
      </c>
      <c r="I36" s="1821">
        <f>H36/G36</f>
        <v>1</v>
      </c>
      <c r="J36" s="1837">
        <f>'[4]int.bevételek RM I'!H36</f>
        <v>0</v>
      </c>
      <c r="K36" s="1815">
        <f>'[4]int.bevételek RM III'!J36</f>
        <v>300</v>
      </c>
      <c r="L36" s="1840">
        <v>300</v>
      </c>
      <c r="M36" s="1821">
        <f>L36/K36</f>
        <v>1</v>
      </c>
      <c r="N36" s="1841">
        <f>'[4]int.bevételek RM I'!K36</f>
        <v>0</v>
      </c>
      <c r="O36" s="1841">
        <f>'[4]int.bevételek RM III'!M36</f>
        <v>0</v>
      </c>
      <c r="P36" s="1815"/>
      <c r="Q36" s="1821"/>
      <c r="R36" s="1817">
        <f t="shared" si="11"/>
        <v>154078</v>
      </c>
      <c r="S36" s="1817">
        <f t="shared" si="11"/>
        <v>268072</v>
      </c>
      <c r="T36" s="1817">
        <f t="shared" si="11"/>
        <v>219980</v>
      </c>
      <c r="U36" s="1822">
        <f>T36/S36</f>
        <v>0.82060043570384078</v>
      </c>
      <c r="V36" s="1839" t="s">
        <v>1167</v>
      </c>
      <c r="W36" s="1837">
        <f>'[4]int.bevételek RM I'!R36</f>
        <v>0</v>
      </c>
      <c r="X36" s="1837">
        <f>'[4]int.bevételek RM III'!T36</f>
        <v>0</v>
      </c>
      <c r="Y36" s="1837"/>
      <c r="Z36" s="1821"/>
      <c r="AA36" s="1837">
        <f>'[4]int.bevételek RM I'!U36</f>
        <v>0</v>
      </c>
      <c r="AB36" s="1837">
        <f>'[4]int.bevételek RM III'!W36</f>
        <v>6826</v>
      </c>
      <c r="AC36" s="1837">
        <v>6826</v>
      </c>
      <c r="AD36" s="1821">
        <f>AC36/AB36</f>
        <v>1</v>
      </c>
      <c r="AE36" s="1837">
        <f>'[4]int.bevételek RM I'!X36</f>
        <v>0</v>
      </c>
      <c r="AF36" s="1837">
        <f>'[4]int.bevételek RM III'!Z36</f>
        <v>0</v>
      </c>
      <c r="AG36" s="1837"/>
      <c r="AH36" s="1821"/>
      <c r="AI36" s="1817">
        <f t="shared" si="12"/>
        <v>0</v>
      </c>
      <c r="AJ36" s="1817">
        <f t="shared" si="12"/>
        <v>6826</v>
      </c>
      <c r="AK36" s="1817">
        <f t="shared" si="12"/>
        <v>6826</v>
      </c>
      <c r="AL36" s="1822">
        <f>AK36/AJ36</f>
        <v>1</v>
      </c>
      <c r="AM36" s="1837"/>
      <c r="AN36" s="1815">
        <f>'[4]int.bevételek RM III'!AJ36</f>
        <v>24500</v>
      </c>
      <c r="AO36" s="1837">
        <v>24500</v>
      </c>
      <c r="AP36" s="1821">
        <f>AO36/AN36</f>
        <v>1</v>
      </c>
      <c r="AQ36" s="1839" t="s">
        <v>1167</v>
      </c>
      <c r="AR36" s="1837">
        <f>'[4]int.bevételek RM I'!AK36</f>
        <v>617225</v>
      </c>
      <c r="AS36" s="1815">
        <f>'[4]int.bevételek RM III'!AM36</f>
        <v>722039</v>
      </c>
      <c r="AT36" s="1837">
        <f>710750-5094</f>
        <v>705656</v>
      </c>
      <c r="AU36" s="1821">
        <f>AT36/AS36</f>
        <v>0.97731008989819113</v>
      </c>
      <c r="AV36" s="1837">
        <f>'[4]int.bevételek RM I'!AN36</f>
        <v>0</v>
      </c>
      <c r="AW36" s="1815">
        <f>'[4]int.bevételek RM III'!AP36</f>
        <v>10745</v>
      </c>
      <c r="AX36" s="1837">
        <v>5094</v>
      </c>
      <c r="AY36" s="1821">
        <f>AX36/AW36</f>
        <v>0.47408096789204279</v>
      </c>
      <c r="AZ36" s="1817">
        <f t="shared" si="13"/>
        <v>617225</v>
      </c>
      <c r="BA36" s="1817">
        <f t="shared" si="13"/>
        <v>732784</v>
      </c>
      <c r="BB36" s="1817">
        <f t="shared" si="13"/>
        <v>710750</v>
      </c>
      <c r="BC36" s="1822">
        <f>BB36/BA36</f>
        <v>0.96993111203301385</v>
      </c>
      <c r="BD36" s="1817">
        <f t="shared" si="14"/>
        <v>771303</v>
      </c>
      <c r="BE36" s="1817">
        <f t="shared" si="14"/>
        <v>1032182</v>
      </c>
      <c r="BF36" s="1817">
        <f t="shared" si="14"/>
        <v>962056</v>
      </c>
      <c r="BG36" s="1822">
        <f>BF36/BE36</f>
        <v>0.93206043120302429</v>
      </c>
      <c r="BH36" s="886"/>
      <c r="BI36" s="886"/>
      <c r="BJ36" s="886"/>
      <c r="BK36" s="886"/>
      <c r="BL36" s="886"/>
      <c r="BM36" s="886"/>
    </row>
    <row r="37" spans="1:65" ht="57" customHeight="1" thickBot="1" x14ac:dyDescent="0.8">
      <c r="A37" s="1842" t="s">
        <v>1168</v>
      </c>
      <c r="B37" s="1825">
        <f>SUM(B33:B36)</f>
        <v>310993</v>
      </c>
      <c r="C37" s="1825">
        <f>SUM(C33:C36)</f>
        <v>379615</v>
      </c>
      <c r="D37" s="1825">
        <f>SUM(D33:D36)</f>
        <v>331611</v>
      </c>
      <c r="E37" s="1826">
        <f>D37/C37</f>
        <v>0.87354556590229571</v>
      </c>
      <c r="F37" s="1825">
        <f>SUM(F33:F36)</f>
        <v>0</v>
      </c>
      <c r="G37" s="1825">
        <f>SUM(G33:G36)</f>
        <v>326567</v>
      </c>
      <c r="H37" s="1825">
        <f>SUM(H33:H36)</f>
        <v>326567</v>
      </c>
      <c r="I37" s="1826">
        <f>H37/G37</f>
        <v>1</v>
      </c>
      <c r="J37" s="1825">
        <f>SUM(J33:J36)</f>
        <v>0</v>
      </c>
      <c r="K37" s="1825">
        <f>SUM(K33:K36)</f>
        <v>20341</v>
      </c>
      <c r="L37" s="1825">
        <f>SUM(L33:L36)</f>
        <v>20341</v>
      </c>
      <c r="M37" s="1826">
        <f>L37/K37</f>
        <v>1</v>
      </c>
      <c r="N37" s="1825">
        <f>SUM(N33:N36)</f>
        <v>0</v>
      </c>
      <c r="O37" s="1825">
        <f>SUM(O33:O36)</f>
        <v>0</v>
      </c>
      <c r="P37" s="1825">
        <f>SUM(P33:P36)</f>
        <v>0</v>
      </c>
      <c r="Q37" s="1826"/>
      <c r="R37" s="1825">
        <f>SUM(R33:R36)</f>
        <v>310993</v>
      </c>
      <c r="S37" s="1825">
        <f>SUM(S33:S36)</f>
        <v>726523</v>
      </c>
      <c r="T37" s="1825">
        <f>SUM(T33:T36)</f>
        <v>678519</v>
      </c>
      <c r="U37" s="1826">
        <f>T37/S37</f>
        <v>0.93392638636354253</v>
      </c>
      <c r="V37" s="1842" t="s">
        <v>1168</v>
      </c>
      <c r="W37" s="1825">
        <f>SUM(W33:W36)</f>
        <v>0</v>
      </c>
      <c r="X37" s="1825">
        <f>SUM(X33:X36)</f>
        <v>10280</v>
      </c>
      <c r="Y37" s="1825">
        <f>SUM(Y33:Y36)</f>
        <v>10280</v>
      </c>
      <c r="Z37" s="1826">
        <f>Y37/X37</f>
        <v>1</v>
      </c>
      <c r="AA37" s="1825">
        <f>SUM(AA33:AA36)</f>
        <v>0</v>
      </c>
      <c r="AB37" s="1825">
        <f>SUM(AB33:AB36)</f>
        <v>39826</v>
      </c>
      <c r="AC37" s="1825">
        <f>SUM(AC33:AC36)</f>
        <v>39826</v>
      </c>
      <c r="AD37" s="1826">
        <f>AC37/AB37</f>
        <v>1</v>
      </c>
      <c r="AE37" s="1825">
        <f>SUM(AE33:AE36)</f>
        <v>0</v>
      </c>
      <c r="AF37" s="1825">
        <f>SUM(AF33:AF36)</f>
        <v>0</v>
      </c>
      <c r="AG37" s="1825">
        <f>SUM(AG33:AG36)</f>
        <v>0</v>
      </c>
      <c r="AH37" s="1826"/>
      <c r="AI37" s="1825">
        <f>SUM(AI33:AI36)</f>
        <v>0</v>
      </c>
      <c r="AJ37" s="1825">
        <f>SUM(AJ33:AJ36)</f>
        <v>50106</v>
      </c>
      <c r="AK37" s="1825">
        <f>SUM(AK33:AK36)</f>
        <v>50106</v>
      </c>
      <c r="AL37" s="1826">
        <f>AK37/AJ37</f>
        <v>1</v>
      </c>
      <c r="AM37" s="1825">
        <f>SUM(AM33:AM36)</f>
        <v>0</v>
      </c>
      <c r="AN37" s="1825">
        <f>SUM(AN33:AN36)</f>
        <v>297710</v>
      </c>
      <c r="AO37" s="1825">
        <f>SUM(AO33:AO36)</f>
        <v>297711</v>
      </c>
      <c r="AP37" s="1826">
        <f>AO37/AN37</f>
        <v>1.0000033589734978</v>
      </c>
      <c r="AQ37" s="1842" t="s">
        <v>1168</v>
      </c>
      <c r="AR37" s="1825">
        <f>SUM(AR33:AR36)</f>
        <v>1495710</v>
      </c>
      <c r="AS37" s="1825">
        <f>SUM(AS33:AS36)</f>
        <v>1877428</v>
      </c>
      <c r="AT37" s="1825">
        <f>SUM(AT33:AT36)</f>
        <v>1803159</v>
      </c>
      <c r="AU37" s="1826">
        <f>AT37/AS37</f>
        <v>0.96044109281421175</v>
      </c>
      <c r="AV37" s="1825">
        <f>SUM(AV33:AV36)</f>
        <v>0</v>
      </c>
      <c r="AW37" s="1825">
        <f>SUM(AW33:AW36)</f>
        <v>59721</v>
      </c>
      <c r="AX37" s="1825">
        <f>SUM(AX33:AX36)</f>
        <v>51782</v>
      </c>
      <c r="AY37" s="1826">
        <f>AX37/AW37</f>
        <v>0.86706518645032737</v>
      </c>
      <c r="AZ37" s="1825">
        <f>SUM(AZ33:AZ36)</f>
        <v>1495710</v>
      </c>
      <c r="BA37" s="1825">
        <f>SUM(BA33:BA36)</f>
        <v>1937149</v>
      </c>
      <c r="BB37" s="1825">
        <f>SUM(BB33:BB36)</f>
        <v>1854941</v>
      </c>
      <c r="BC37" s="1826">
        <f>BB37/BA37</f>
        <v>0.95756237646149056</v>
      </c>
      <c r="BD37" s="1825">
        <f>SUM(BD33:BD36)</f>
        <v>1806703</v>
      </c>
      <c r="BE37" s="1825">
        <f>SUM(BE33:BE36)</f>
        <v>3011488</v>
      </c>
      <c r="BF37" s="1825">
        <f>SUM(BF33:BF36)</f>
        <v>2881277</v>
      </c>
      <c r="BG37" s="1826">
        <f>BF37/BE37</f>
        <v>0.95676190640640113</v>
      </c>
      <c r="BH37" s="886"/>
      <c r="BI37" s="886"/>
      <c r="BJ37" s="886"/>
      <c r="BK37" s="886"/>
      <c r="BL37" s="886"/>
      <c r="BM37" s="886"/>
    </row>
    <row r="38" spans="1:65" ht="57" customHeight="1" x14ac:dyDescent="0.75">
      <c r="A38" s="1843" t="s">
        <v>1169</v>
      </c>
      <c r="B38" s="1812"/>
      <c r="C38" s="1812"/>
      <c r="D38" s="1812"/>
      <c r="E38" s="1812"/>
      <c r="F38" s="1812"/>
      <c r="G38" s="1812"/>
      <c r="H38" s="1812"/>
      <c r="I38" s="1812"/>
      <c r="J38" s="1812"/>
      <c r="K38" s="1812"/>
      <c r="L38" s="1812"/>
      <c r="M38" s="1812"/>
      <c r="N38" s="1812"/>
      <c r="O38" s="1812"/>
      <c r="P38" s="1812"/>
      <c r="Q38" s="1812"/>
      <c r="R38" s="1812"/>
      <c r="S38" s="1812"/>
      <c r="T38" s="1812"/>
      <c r="U38" s="1812"/>
      <c r="V38" s="1843" t="s">
        <v>1169</v>
      </c>
      <c r="W38" s="1812"/>
      <c r="X38" s="1812"/>
      <c r="Y38" s="1812"/>
      <c r="Z38" s="1812"/>
      <c r="AA38" s="1812"/>
      <c r="AB38" s="1812"/>
      <c r="AC38" s="1812"/>
      <c r="AD38" s="1812"/>
      <c r="AE38" s="1812"/>
      <c r="AF38" s="1812"/>
      <c r="AG38" s="1812"/>
      <c r="AH38" s="1812"/>
      <c r="AI38" s="1812"/>
      <c r="AJ38" s="1812"/>
      <c r="AK38" s="1812"/>
      <c r="AL38" s="1812"/>
      <c r="AM38" s="1812"/>
      <c r="AN38" s="1812"/>
      <c r="AO38" s="1812"/>
      <c r="AP38" s="1812"/>
      <c r="AQ38" s="1843" t="s">
        <v>1169</v>
      </c>
      <c r="AR38" s="1812"/>
      <c r="AS38" s="1812"/>
      <c r="AT38" s="1812"/>
      <c r="AU38" s="1812"/>
      <c r="AV38" s="1812"/>
      <c r="AW38" s="1812"/>
      <c r="AX38" s="1812"/>
      <c r="AY38" s="1812"/>
      <c r="AZ38" s="1812"/>
      <c r="BA38" s="1812"/>
      <c r="BB38" s="1812"/>
      <c r="BC38" s="1812"/>
      <c r="BD38" s="1812"/>
      <c r="BE38" s="1812"/>
      <c r="BF38" s="1812"/>
      <c r="BG38" s="1812"/>
      <c r="BH38" s="886"/>
      <c r="BI38" s="886"/>
      <c r="BJ38" s="886"/>
      <c r="BK38" s="886"/>
      <c r="BL38" s="886"/>
      <c r="BM38" s="886"/>
    </row>
    <row r="39" spans="1:65" s="930" customFormat="1" ht="114" customHeight="1" thickBot="1" x14ac:dyDescent="0.8">
      <c r="A39" s="1834" t="s">
        <v>548</v>
      </c>
      <c r="B39" s="1815">
        <f>'[4]int.bevételek RM I'!B39</f>
        <v>141307</v>
      </c>
      <c r="C39" s="1815">
        <f>'[4]int.bevételek RM III'!D39</f>
        <v>229094</v>
      </c>
      <c r="D39" s="1815">
        <v>229095</v>
      </c>
      <c r="E39" s="1844">
        <f>D39/C39</f>
        <v>1.000004365020472</v>
      </c>
      <c r="F39" s="1815">
        <f>'[4]int.bevételek RM I'!E39</f>
        <v>0</v>
      </c>
      <c r="G39" s="1815">
        <f>'[4]int.bevételek RM III'!G39</f>
        <v>5731</v>
      </c>
      <c r="H39" s="1815">
        <v>5731</v>
      </c>
      <c r="I39" s="1844">
        <f>H39/G39</f>
        <v>1</v>
      </c>
      <c r="J39" s="1815">
        <f>'[4]int.bevételek RM I'!H39</f>
        <v>0</v>
      </c>
      <c r="K39" s="1815">
        <f>'[4]int.bevételek RM III'!J39</f>
        <v>437</v>
      </c>
      <c r="L39" s="1815">
        <v>437</v>
      </c>
      <c r="M39" s="1844">
        <f>L39/K39</f>
        <v>1</v>
      </c>
      <c r="N39" s="1820">
        <f>'[4]int.bevételek RM I'!K39</f>
        <v>0</v>
      </c>
      <c r="O39" s="1820">
        <f>'[4]int.bevételek RM III'!M39</f>
        <v>0</v>
      </c>
      <c r="P39" s="1820"/>
      <c r="Q39" s="1844"/>
      <c r="R39" s="1817">
        <f>B39+F39+J39+N39</f>
        <v>141307</v>
      </c>
      <c r="S39" s="1817">
        <f>C39+G39+K39+O39</f>
        <v>235262</v>
      </c>
      <c r="T39" s="1817">
        <f>D39+H39+L39+P39</f>
        <v>235263</v>
      </c>
      <c r="U39" s="1830">
        <f>T39/S39</f>
        <v>1.0000042505802043</v>
      </c>
      <c r="V39" s="1834" t="s">
        <v>548</v>
      </c>
      <c r="W39" s="1815">
        <f>'[4]int.bevételek RM I'!R39</f>
        <v>0</v>
      </c>
      <c r="X39" s="1815">
        <f>'[4]int.bevételek RM III'!T39</f>
        <v>0</v>
      </c>
      <c r="Y39" s="1815"/>
      <c r="Z39" s="1844"/>
      <c r="AA39" s="1815">
        <f>'[4]int.bevételek RM I'!U39</f>
        <v>0</v>
      </c>
      <c r="AB39" s="1815">
        <f>'[4]int.bevételek RM III'!W39</f>
        <v>0</v>
      </c>
      <c r="AC39" s="1815"/>
      <c r="AD39" s="1844"/>
      <c r="AE39" s="1815">
        <f>'[4]int.bevételek RM I'!X39</f>
        <v>0</v>
      </c>
      <c r="AF39" s="1815">
        <f>'[4]int.bevételek RM III'!Z39</f>
        <v>0</v>
      </c>
      <c r="AG39" s="1815"/>
      <c r="AH39" s="1844"/>
      <c r="AI39" s="1817">
        <f>W39+AA39+AE39</f>
        <v>0</v>
      </c>
      <c r="AJ39" s="1817">
        <f>X39+AB39+AF39</f>
        <v>0</v>
      </c>
      <c r="AK39" s="1817">
        <f>Y39+AC39+AG39</f>
        <v>0</v>
      </c>
      <c r="AL39" s="1830"/>
      <c r="AM39" s="1815"/>
      <c r="AN39" s="1815">
        <f>'[4]int.bevételek RM III'!AJ39</f>
        <v>1233</v>
      </c>
      <c r="AO39" s="1815">
        <v>1233</v>
      </c>
      <c r="AP39" s="1844">
        <f>AO39/AN39</f>
        <v>1</v>
      </c>
      <c r="AQ39" s="1834" t="s">
        <v>548</v>
      </c>
      <c r="AR39" s="1815">
        <f>'[4]int.bevételek RM I'!AK39</f>
        <v>1416028</v>
      </c>
      <c r="AS39" s="1815">
        <f>'[4]int.bevételek RM III'!AM39</f>
        <v>1607295</v>
      </c>
      <c r="AT39" s="1815">
        <f>1656232-83366</f>
        <v>1572866</v>
      </c>
      <c r="AU39" s="1844">
        <f>AT39/AS39</f>
        <v>0.97857953891476046</v>
      </c>
      <c r="AV39" s="1815">
        <f>'[4]int.bevételek RM I'!AN39</f>
        <v>0</v>
      </c>
      <c r="AW39" s="1815">
        <f>'[4]int.bevételek RM III'!AP39</f>
        <v>109880</v>
      </c>
      <c r="AX39" s="1815">
        <v>83366</v>
      </c>
      <c r="AY39" s="1845">
        <f>AX39/AW39</f>
        <v>0.75870040043684017</v>
      </c>
      <c r="AZ39" s="1817">
        <f>AR39+AV39</f>
        <v>1416028</v>
      </c>
      <c r="BA39" s="1817">
        <f>AS39+AW39</f>
        <v>1717175</v>
      </c>
      <c r="BB39" s="1817">
        <f>AT39+AX39</f>
        <v>1656232</v>
      </c>
      <c r="BC39" s="1830">
        <f>BB39/BA39</f>
        <v>0.964509732554923</v>
      </c>
      <c r="BD39" s="1817">
        <f>R39+AI39+AM39+AZ39</f>
        <v>1557335</v>
      </c>
      <c r="BE39" s="1817">
        <f>S39+AJ39+AN39+BA39</f>
        <v>1953670</v>
      </c>
      <c r="BF39" s="1817">
        <f>T39+AK39+AO39+BB39</f>
        <v>1892728</v>
      </c>
      <c r="BG39" s="1830">
        <f>BF39/BE39</f>
        <v>0.96880640026207088</v>
      </c>
      <c r="BH39" s="897"/>
      <c r="BI39" s="897"/>
      <c r="BJ39" s="897"/>
      <c r="BK39" s="897"/>
      <c r="BL39" s="897"/>
      <c r="BM39" s="897"/>
    </row>
    <row r="40" spans="1:65" ht="57" customHeight="1" x14ac:dyDescent="0.75">
      <c r="A40" s="1843" t="s">
        <v>1170</v>
      </c>
      <c r="B40" s="1812"/>
      <c r="C40" s="1812"/>
      <c r="D40" s="1812"/>
      <c r="E40" s="1822"/>
      <c r="F40" s="1812"/>
      <c r="G40" s="1812"/>
      <c r="H40" s="1812"/>
      <c r="I40" s="1822"/>
      <c r="J40" s="1812"/>
      <c r="K40" s="1812"/>
      <c r="L40" s="1812"/>
      <c r="M40" s="1822"/>
      <c r="N40" s="1812"/>
      <c r="O40" s="1812"/>
      <c r="P40" s="1812"/>
      <c r="Q40" s="1822"/>
      <c r="R40" s="1812"/>
      <c r="S40" s="1812"/>
      <c r="T40" s="1812"/>
      <c r="U40" s="1822"/>
      <c r="V40" s="1843" t="s">
        <v>1170</v>
      </c>
      <c r="W40" s="1812"/>
      <c r="X40" s="1812"/>
      <c r="Y40" s="1812"/>
      <c r="Z40" s="1822"/>
      <c r="AA40" s="1812"/>
      <c r="AB40" s="1812"/>
      <c r="AC40" s="1812"/>
      <c r="AD40" s="1822"/>
      <c r="AE40" s="1812"/>
      <c r="AF40" s="1812"/>
      <c r="AG40" s="1812"/>
      <c r="AH40" s="1822"/>
      <c r="AI40" s="1812"/>
      <c r="AJ40" s="1812"/>
      <c r="AK40" s="1812"/>
      <c r="AL40" s="1822"/>
      <c r="AM40" s="1846"/>
      <c r="AN40" s="1846"/>
      <c r="AO40" s="1846"/>
      <c r="AP40" s="1821"/>
      <c r="AQ40" s="1843" t="s">
        <v>1170</v>
      </c>
      <c r="AR40" s="1846"/>
      <c r="AS40" s="1846"/>
      <c r="AT40" s="1846"/>
      <c r="AU40" s="1821"/>
      <c r="AV40" s="1846"/>
      <c r="AW40" s="1846"/>
      <c r="AX40" s="1846"/>
      <c r="AY40" s="1821"/>
      <c r="AZ40" s="1812"/>
      <c r="BA40" s="1812"/>
      <c r="BB40" s="1812"/>
      <c r="BC40" s="1822"/>
      <c r="BD40" s="1812"/>
      <c r="BE40" s="1812"/>
      <c r="BF40" s="1812"/>
      <c r="BG40" s="1822"/>
      <c r="BH40" s="886"/>
      <c r="BI40" s="886"/>
      <c r="BJ40" s="886"/>
      <c r="BK40" s="886"/>
      <c r="BL40" s="886"/>
      <c r="BM40" s="886"/>
    </row>
    <row r="41" spans="1:65" ht="57" customHeight="1" thickBot="1" x14ac:dyDescent="0.8">
      <c r="A41" s="1847" t="s">
        <v>1171</v>
      </c>
      <c r="B41" s="1848">
        <f>'[4]int.bevételek RM I'!B41</f>
        <v>52045</v>
      </c>
      <c r="C41" s="1815">
        <f>'[4]int.bevételek RM III'!D41</f>
        <v>49613</v>
      </c>
      <c r="D41" s="1848">
        <v>49613</v>
      </c>
      <c r="E41" s="1844">
        <f>D41/C41</f>
        <v>1</v>
      </c>
      <c r="F41" s="1848">
        <f>'[4]int.bevételek RM I'!E41</f>
        <v>432100</v>
      </c>
      <c r="G41" s="1815">
        <f>'[4]int.bevételek RM III'!G41</f>
        <v>517679</v>
      </c>
      <c r="H41" s="1848">
        <v>517679</v>
      </c>
      <c r="I41" s="1844">
        <f>H41/G41</f>
        <v>1</v>
      </c>
      <c r="J41" s="1848">
        <f>'[4]int.bevételek RM I'!H41</f>
        <v>0</v>
      </c>
      <c r="K41" s="1815">
        <f>'[4]int.bevételek RM III'!J41</f>
        <v>0</v>
      </c>
      <c r="L41" s="1848"/>
      <c r="M41" s="1844"/>
      <c r="N41" s="1848">
        <f>'[4]int.bevételek RM I'!K41</f>
        <v>0</v>
      </c>
      <c r="O41" s="1848">
        <f>'[4]int.bevételek RM III'!M41</f>
        <v>0</v>
      </c>
      <c r="P41" s="1815"/>
      <c r="Q41" s="1844"/>
      <c r="R41" s="1817">
        <f>B41+F41+J41+N41</f>
        <v>484145</v>
      </c>
      <c r="S41" s="1817">
        <f>C41+G41+K41+O41</f>
        <v>567292</v>
      </c>
      <c r="T41" s="1817">
        <f>D41+H41+L41+P41</f>
        <v>567292</v>
      </c>
      <c r="U41" s="1830">
        <f>T41/S41</f>
        <v>1</v>
      </c>
      <c r="V41" s="1849" t="s">
        <v>1171</v>
      </c>
      <c r="W41" s="1848">
        <f>'[4]int.bevételek RM I'!R41</f>
        <v>0</v>
      </c>
      <c r="X41" s="1848">
        <f>'[4]int.bevételek RM III'!T41</f>
        <v>22</v>
      </c>
      <c r="Y41" s="1848">
        <v>22</v>
      </c>
      <c r="Z41" s="1844">
        <f>Y41/X41</f>
        <v>1</v>
      </c>
      <c r="AA41" s="1848">
        <f>'[4]int.bevételek RM I'!U41</f>
        <v>250</v>
      </c>
      <c r="AB41" s="1848">
        <f>'[4]int.bevételek RM III'!W41</f>
        <v>250</v>
      </c>
      <c r="AC41" s="1848">
        <v>250</v>
      </c>
      <c r="AD41" s="1844">
        <f>AC41/AB41</f>
        <v>1</v>
      </c>
      <c r="AE41" s="1848">
        <f>'[4]int.bevételek RM I'!X41</f>
        <v>0</v>
      </c>
      <c r="AF41" s="1848">
        <f>'[4]int.bevételek RM III'!Z41</f>
        <v>0</v>
      </c>
      <c r="AG41" s="1848"/>
      <c r="AH41" s="1844"/>
      <c r="AI41" s="1817">
        <f>W41+AA41+AE41</f>
        <v>250</v>
      </c>
      <c r="AJ41" s="1817">
        <f>X41+AB41+AF41</f>
        <v>272</v>
      </c>
      <c r="AK41" s="1817">
        <f>Y41+AC41+AG41</f>
        <v>272</v>
      </c>
      <c r="AL41" s="1830">
        <f>AK41/AJ41</f>
        <v>1</v>
      </c>
      <c r="AM41" s="1848"/>
      <c r="AN41" s="1815">
        <f>'[4]int.bevételek RM III'!AJ41</f>
        <v>120577</v>
      </c>
      <c r="AO41" s="1848">
        <v>120577</v>
      </c>
      <c r="AP41" s="1844">
        <f>AO41/AN41</f>
        <v>1</v>
      </c>
      <c r="AQ41" s="1849" t="s">
        <v>1171</v>
      </c>
      <c r="AR41" s="1848">
        <f>'[4]int.bevételek RM I'!AK41</f>
        <v>383068</v>
      </c>
      <c r="AS41" s="1815">
        <f>'[4]int.bevételek RM III'!AM41</f>
        <v>420661</v>
      </c>
      <c r="AT41" s="1848">
        <f>413903-3215</f>
        <v>410688</v>
      </c>
      <c r="AU41" s="1844">
        <f>AT41/AS41</f>
        <v>0.97629207366501769</v>
      </c>
      <c r="AV41" s="1848">
        <f>'[4]int.bevételek RM I'!AN41</f>
        <v>1778</v>
      </c>
      <c r="AW41" s="1815">
        <f>'[4]int.bevételek RM III'!AP41</f>
        <v>6131</v>
      </c>
      <c r="AX41" s="1848">
        <v>3215</v>
      </c>
      <c r="AY41" s="1844">
        <f>AX41/AW41</f>
        <v>0.52438427662697762</v>
      </c>
      <c r="AZ41" s="1817">
        <f>AR41+AV41</f>
        <v>384846</v>
      </c>
      <c r="BA41" s="1817">
        <f>AS41+AW41</f>
        <v>426792</v>
      </c>
      <c r="BB41" s="1817">
        <f>AT41+AX41</f>
        <v>413903</v>
      </c>
      <c r="BC41" s="1830">
        <f>BB41/BA41</f>
        <v>0.96980027741850827</v>
      </c>
      <c r="BD41" s="1817">
        <f>R41+AI41+AM41+AZ41</f>
        <v>869241</v>
      </c>
      <c r="BE41" s="1817">
        <f>S41+AJ41+AN41+BA41</f>
        <v>1114933</v>
      </c>
      <c r="BF41" s="1817">
        <f>T41+AK41+AO41+BB41</f>
        <v>1102044</v>
      </c>
      <c r="BG41" s="1830">
        <f>BF41/BE41</f>
        <v>0.98843966408743844</v>
      </c>
      <c r="BH41" s="886"/>
      <c r="BI41" s="886"/>
      <c r="BJ41" s="886"/>
      <c r="BK41" s="886"/>
      <c r="BL41" s="886"/>
      <c r="BM41" s="886"/>
    </row>
    <row r="42" spans="1:65" ht="57" customHeight="1" x14ac:dyDescent="0.75">
      <c r="A42" s="1843" t="s">
        <v>1172</v>
      </c>
      <c r="B42" s="1812"/>
      <c r="C42" s="1812"/>
      <c r="D42" s="1812"/>
      <c r="E42" s="1822"/>
      <c r="F42" s="1812"/>
      <c r="G42" s="1812"/>
      <c r="H42" s="1812"/>
      <c r="I42" s="1822"/>
      <c r="J42" s="1812"/>
      <c r="K42" s="1812"/>
      <c r="L42" s="1812"/>
      <c r="M42" s="1822"/>
      <c r="N42" s="1812"/>
      <c r="O42" s="1812"/>
      <c r="P42" s="1812"/>
      <c r="Q42" s="1822"/>
      <c r="R42" s="1812"/>
      <c r="S42" s="1812"/>
      <c r="T42" s="1812"/>
      <c r="U42" s="1822"/>
      <c r="V42" s="1843" t="s">
        <v>1172</v>
      </c>
      <c r="W42" s="1812"/>
      <c r="X42" s="1812"/>
      <c r="Y42" s="1812"/>
      <c r="Z42" s="1822"/>
      <c r="AA42" s="1812"/>
      <c r="AB42" s="1812"/>
      <c r="AC42" s="1812"/>
      <c r="AD42" s="1822"/>
      <c r="AE42" s="1812"/>
      <c r="AF42" s="1812"/>
      <c r="AG42" s="1812"/>
      <c r="AH42" s="1822"/>
      <c r="AI42" s="1812"/>
      <c r="AJ42" s="1812"/>
      <c r="AK42" s="1812"/>
      <c r="AL42" s="1822"/>
      <c r="AM42" s="1846"/>
      <c r="AN42" s="1846"/>
      <c r="AO42" s="1846"/>
      <c r="AP42" s="1821"/>
      <c r="AQ42" s="1843" t="s">
        <v>1172</v>
      </c>
      <c r="AR42" s="1846"/>
      <c r="AS42" s="1846"/>
      <c r="AT42" s="1846"/>
      <c r="AU42" s="1821"/>
      <c r="AV42" s="1846"/>
      <c r="AW42" s="1846"/>
      <c r="AX42" s="1846"/>
      <c r="AY42" s="1821"/>
      <c r="AZ42" s="1812"/>
      <c r="BA42" s="1812"/>
      <c r="BB42" s="1812"/>
      <c r="BC42" s="1822"/>
      <c r="BD42" s="1812"/>
      <c r="BE42" s="1812"/>
      <c r="BF42" s="1812"/>
      <c r="BG42" s="1822"/>
      <c r="BH42" s="886"/>
      <c r="BI42" s="886"/>
      <c r="BJ42" s="886"/>
      <c r="BK42" s="886"/>
      <c r="BL42" s="886"/>
      <c r="BM42" s="886"/>
    </row>
    <row r="43" spans="1:65" ht="51.75" thickBot="1" x14ac:dyDescent="0.8">
      <c r="A43" s="1850" t="s">
        <v>1173</v>
      </c>
      <c r="B43" s="1820">
        <f>'[4]int.bevételek RM I'!B43</f>
        <v>88796</v>
      </c>
      <c r="C43" s="1815">
        <f>'[4]int.bevételek RM III'!D43</f>
        <v>97892</v>
      </c>
      <c r="D43" s="1820">
        <v>97892</v>
      </c>
      <c r="E43" s="1816">
        <f>D43/C43</f>
        <v>1</v>
      </c>
      <c r="F43" s="1820">
        <f>'[4]int.bevételek RM I'!E43</f>
        <v>0</v>
      </c>
      <c r="G43" s="1815">
        <f>'[4]int.bevételek RM III'!G43</f>
        <v>25762</v>
      </c>
      <c r="H43" s="1820">
        <v>25762</v>
      </c>
      <c r="I43" s="1816">
        <f>H43/G43</f>
        <v>1</v>
      </c>
      <c r="J43" s="1820">
        <f>'[4]int.bevételek RM I'!H43</f>
        <v>0</v>
      </c>
      <c r="K43" s="1815">
        <f>'[4]int.bevételek RM III'!J43</f>
        <v>0</v>
      </c>
      <c r="L43" s="1815"/>
      <c r="M43" s="1816"/>
      <c r="N43" s="1851">
        <f>'[4]int.bevételek RM I'!K43</f>
        <v>0</v>
      </c>
      <c r="O43" s="1815">
        <f>'[4]int.bevételek RM III'!M43</f>
        <v>0</v>
      </c>
      <c r="P43" s="1815"/>
      <c r="Q43" s="1816"/>
      <c r="R43" s="1817">
        <f>B43+F43+J43+N43</f>
        <v>88796</v>
      </c>
      <c r="S43" s="1817">
        <f>C43+G43+K43+O43</f>
        <v>123654</v>
      </c>
      <c r="T43" s="1817">
        <f>D43+H43+L43+P43</f>
        <v>123654</v>
      </c>
      <c r="U43" s="1818">
        <f>T43/S43</f>
        <v>1</v>
      </c>
      <c r="V43" s="1850" t="s">
        <v>1173</v>
      </c>
      <c r="W43" s="1820">
        <f>'[4]int.bevételek RM I'!R43</f>
        <v>0</v>
      </c>
      <c r="X43" s="1820">
        <f>'[4]int.bevételek RM III'!T43</f>
        <v>0</v>
      </c>
      <c r="Y43" s="1820"/>
      <c r="Z43" s="1844"/>
      <c r="AA43" s="1820">
        <f>'[4]int.bevételek RM I'!U43</f>
        <v>0</v>
      </c>
      <c r="AB43" s="1820">
        <f>'[4]int.bevételek RM III'!W43</f>
        <v>0</v>
      </c>
      <c r="AC43" s="1820"/>
      <c r="AD43" s="1816"/>
      <c r="AE43" s="1820">
        <f>'[4]int.bevételek RM I'!X43</f>
        <v>0</v>
      </c>
      <c r="AF43" s="1820">
        <f>'[4]int.bevételek RM III'!Z43</f>
        <v>0</v>
      </c>
      <c r="AG43" s="1820"/>
      <c r="AH43" s="1816"/>
      <c r="AI43" s="1817">
        <f>W43+AA43+AE43</f>
        <v>0</v>
      </c>
      <c r="AJ43" s="1817">
        <f>X43+AB43+AF43</f>
        <v>0</v>
      </c>
      <c r="AK43" s="1817">
        <f>Y43+AC43+AG43</f>
        <v>0</v>
      </c>
      <c r="AL43" s="1818"/>
      <c r="AM43" s="1820"/>
      <c r="AN43" s="1815">
        <f>'[4]int.bevételek RM III'!AJ43</f>
        <v>1514</v>
      </c>
      <c r="AO43" s="1820">
        <v>1514</v>
      </c>
      <c r="AP43" s="1816">
        <f>AO43/AN43</f>
        <v>1</v>
      </c>
      <c r="AQ43" s="1850" t="s">
        <v>1173</v>
      </c>
      <c r="AR43" s="1820">
        <f>'[4]int.bevételek RM I'!AK43</f>
        <v>1625075</v>
      </c>
      <c r="AS43" s="1815">
        <f>'[4]int.bevételek RM III'!AM43</f>
        <v>1653999</v>
      </c>
      <c r="AT43" s="1820">
        <f>1707081-70069</f>
        <v>1637012</v>
      </c>
      <c r="AU43" s="1816">
        <f>AT43/AS43</f>
        <v>0.98972973986078594</v>
      </c>
      <c r="AV43" s="1820">
        <f>'[4]int.bevételek RM I'!AN43</f>
        <v>0</v>
      </c>
      <c r="AW43" s="1815">
        <f>'[4]int.bevételek RM III'!AP43</f>
        <v>82564</v>
      </c>
      <c r="AX43" s="1820">
        <v>70069</v>
      </c>
      <c r="AY43" s="1844">
        <f>AX43/AW43</f>
        <v>0.84866285548180809</v>
      </c>
      <c r="AZ43" s="1817">
        <f>AR43+AV43</f>
        <v>1625075</v>
      </c>
      <c r="BA43" s="1817">
        <f>AS43+AW43</f>
        <v>1736563</v>
      </c>
      <c r="BB43" s="1817">
        <f>AT43+AX43</f>
        <v>1707081</v>
      </c>
      <c r="BC43" s="1818">
        <f>BB43/BA43</f>
        <v>0.98302278696482648</v>
      </c>
      <c r="BD43" s="1817">
        <f>R43+AI43+AM43+AZ43</f>
        <v>1713871</v>
      </c>
      <c r="BE43" s="1817">
        <f>S43+AJ43+AN43+BA43</f>
        <v>1861731</v>
      </c>
      <c r="BF43" s="1817">
        <f>T43+AK43+AO43+BB43</f>
        <v>1832249</v>
      </c>
      <c r="BG43" s="1818">
        <f>BF43/BE43</f>
        <v>0.98416419987635162</v>
      </c>
      <c r="BH43" s="886"/>
      <c r="BI43" s="886"/>
      <c r="BJ43" s="886"/>
      <c r="BK43" s="886"/>
      <c r="BL43" s="886"/>
      <c r="BM43" s="886"/>
    </row>
    <row r="44" spans="1:65" ht="57" customHeight="1" x14ac:dyDescent="0.75">
      <c r="A44" s="1843" t="s">
        <v>1174</v>
      </c>
      <c r="B44" s="1812"/>
      <c r="C44" s="1812"/>
      <c r="D44" s="1812"/>
      <c r="E44" s="1812"/>
      <c r="F44" s="1812"/>
      <c r="G44" s="1812"/>
      <c r="H44" s="1812"/>
      <c r="I44" s="1822"/>
      <c r="J44" s="1812"/>
      <c r="K44" s="1812"/>
      <c r="L44" s="1812"/>
      <c r="M44" s="1812"/>
      <c r="N44" s="1812"/>
      <c r="O44" s="1812"/>
      <c r="P44" s="1812"/>
      <c r="Q44" s="1812"/>
      <c r="R44" s="1812"/>
      <c r="S44" s="1812"/>
      <c r="T44" s="1812"/>
      <c r="U44" s="1812"/>
      <c r="V44" s="1843" t="s">
        <v>1174</v>
      </c>
      <c r="W44" s="1812"/>
      <c r="X44" s="1812"/>
      <c r="Y44" s="1812"/>
      <c r="Z44" s="1822"/>
      <c r="AA44" s="1812"/>
      <c r="AB44" s="1812"/>
      <c r="AC44" s="1812"/>
      <c r="AD44" s="1812"/>
      <c r="AE44" s="1812"/>
      <c r="AF44" s="1812"/>
      <c r="AG44" s="1812"/>
      <c r="AH44" s="1812"/>
      <c r="AI44" s="1812"/>
      <c r="AJ44" s="1812"/>
      <c r="AK44" s="1812"/>
      <c r="AL44" s="1812"/>
      <c r="AM44" s="1812"/>
      <c r="AN44" s="1812"/>
      <c r="AO44" s="1812"/>
      <c r="AP44" s="1812"/>
      <c r="AQ44" s="1843" t="s">
        <v>1174</v>
      </c>
      <c r="AR44" s="1846"/>
      <c r="AS44" s="1846"/>
      <c r="AT44" s="1846"/>
      <c r="AU44" s="1846"/>
      <c r="AV44" s="1846"/>
      <c r="AW44" s="1846"/>
      <c r="AX44" s="1846"/>
      <c r="AY44" s="1821"/>
      <c r="AZ44" s="1812"/>
      <c r="BA44" s="1812"/>
      <c r="BB44" s="1812"/>
      <c r="BC44" s="1812"/>
      <c r="BD44" s="1812"/>
      <c r="BE44" s="1812"/>
      <c r="BF44" s="1812"/>
      <c r="BG44" s="1812"/>
      <c r="BH44" s="886"/>
      <c r="BI44" s="886"/>
      <c r="BJ44" s="886"/>
      <c r="BK44" s="886"/>
      <c r="BL44" s="886"/>
      <c r="BM44" s="886"/>
    </row>
    <row r="45" spans="1:65" ht="57" customHeight="1" x14ac:dyDescent="0.75">
      <c r="A45" s="1852" t="s">
        <v>1175</v>
      </c>
      <c r="B45" s="1815">
        <f>'[4]int.bevételek RM I'!B45</f>
        <v>188823</v>
      </c>
      <c r="C45" s="1815">
        <f>'[4]int.bevételek RM III'!D45</f>
        <v>185714</v>
      </c>
      <c r="D45" s="1815">
        <v>185714</v>
      </c>
      <c r="E45" s="1816">
        <f>D45/C45</f>
        <v>1</v>
      </c>
      <c r="F45" s="1815">
        <f>'[4]int.bevételek RM I'!E45</f>
        <v>0</v>
      </c>
      <c r="G45" s="1815">
        <f>'[4]int.bevételek RM III'!G45</f>
        <v>0</v>
      </c>
      <c r="H45" s="1815"/>
      <c r="I45" s="1816"/>
      <c r="J45" s="1815">
        <f>'[4]int.bevételek RM I'!H45</f>
        <v>0</v>
      </c>
      <c r="K45" s="1815">
        <f>'[4]int.bevételek RM III'!J45</f>
        <v>0</v>
      </c>
      <c r="L45" s="1815"/>
      <c r="M45" s="1816"/>
      <c r="N45" s="1815">
        <f>'[4]int.bevételek RM I'!K45</f>
        <v>0</v>
      </c>
      <c r="O45" s="1815">
        <f>'[4]int.bevételek RM III'!M45</f>
        <v>0</v>
      </c>
      <c r="P45" s="1815"/>
      <c r="Q45" s="1816"/>
      <c r="R45" s="1817">
        <f t="shared" ref="R45:T46" si="15">B45+F45+J45+N45</f>
        <v>188823</v>
      </c>
      <c r="S45" s="1817">
        <f t="shared" si="15"/>
        <v>185714</v>
      </c>
      <c r="T45" s="1817">
        <f t="shared" si="15"/>
        <v>185714</v>
      </c>
      <c r="U45" s="1818">
        <f>T45/S45</f>
        <v>1</v>
      </c>
      <c r="V45" s="1852" t="s">
        <v>1175</v>
      </c>
      <c r="W45" s="1815">
        <f>'[4]int.bevételek RM I'!R45</f>
        <v>0</v>
      </c>
      <c r="X45" s="1815">
        <f>'[4]int.bevételek RM III'!T45</f>
        <v>0</v>
      </c>
      <c r="Y45" s="1815"/>
      <c r="Z45" s="1816"/>
      <c r="AA45" s="1815">
        <f>'[4]int.bevételek RM I'!U45</f>
        <v>0</v>
      </c>
      <c r="AB45" s="1815">
        <f>'[4]int.bevételek RM III'!W45</f>
        <v>0</v>
      </c>
      <c r="AC45" s="1815"/>
      <c r="AD45" s="1816"/>
      <c r="AE45" s="1815">
        <f>'[4]int.bevételek RM I'!X45</f>
        <v>0</v>
      </c>
      <c r="AF45" s="1815">
        <f>'[4]int.bevételek RM III'!Z45</f>
        <v>0</v>
      </c>
      <c r="AG45" s="1815"/>
      <c r="AH45" s="1816"/>
      <c r="AI45" s="1817">
        <f t="shared" ref="AI45:AK46" si="16">W45+AA45+AE45</f>
        <v>0</v>
      </c>
      <c r="AJ45" s="1817">
        <f t="shared" si="16"/>
        <v>0</v>
      </c>
      <c r="AK45" s="1817">
        <f t="shared" si="16"/>
        <v>0</v>
      </c>
      <c r="AL45" s="1818"/>
      <c r="AM45" s="1815"/>
      <c r="AN45" s="1815">
        <f>'[4]int.bevételek RM III'!AJ45</f>
        <v>720</v>
      </c>
      <c r="AO45" s="1815">
        <v>720</v>
      </c>
      <c r="AP45" s="1816">
        <f>AO45/AN45</f>
        <v>1</v>
      </c>
      <c r="AQ45" s="1852" t="s">
        <v>1175</v>
      </c>
      <c r="AR45" s="1815">
        <f>'[4]int.bevételek RM I'!AK45</f>
        <v>16986</v>
      </c>
      <c r="AS45" s="1815">
        <f>'[4]int.bevételek RM III'!AM45</f>
        <v>32234</v>
      </c>
      <c r="AT45" s="1853">
        <f>42359-8940-1185</f>
        <v>32234</v>
      </c>
      <c r="AU45" s="1816">
        <f>AT45/AS45</f>
        <v>1</v>
      </c>
      <c r="AV45" s="1815">
        <f>'[4]int.bevételek RM I'!AN45</f>
        <v>0</v>
      </c>
      <c r="AW45" s="1815">
        <f>'[4]int.bevételek RM III'!AP45</f>
        <v>13125</v>
      </c>
      <c r="AX45" s="1815">
        <f>8940+1185</f>
        <v>10125</v>
      </c>
      <c r="AY45" s="1816">
        <f>AX45/AW45</f>
        <v>0.77142857142857146</v>
      </c>
      <c r="AZ45" s="1817">
        <f t="shared" ref="AZ45:BB46" si="17">AR45+AV45</f>
        <v>16986</v>
      </c>
      <c r="BA45" s="1817">
        <f t="shared" si="17"/>
        <v>45359</v>
      </c>
      <c r="BB45" s="1817">
        <f t="shared" si="17"/>
        <v>42359</v>
      </c>
      <c r="BC45" s="1818">
        <f>BB45/BA45</f>
        <v>0.93386097577107074</v>
      </c>
      <c r="BD45" s="1817">
        <f t="shared" ref="BD45:BF46" si="18">R45+AI45+AM45+AZ45</f>
        <v>205809</v>
      </c>
      <c r="BE45" s="1817">
        <f t="shared" si="18"/>
        <v>231793</v>
      </c>
      <c r="BF45" s="1817">
        <f t="shared" si="18"/>
        <v>228793</v>
      </c>
      <c r="BG45" s="1818">
        <f>BF45/BE45</f>
        <v>0.98705741760967758</v>
      </c>
      <c r="BH45" s="886"/>
      <c r="BI45" s="886"/>
      <c r="BJ45" s="886"/>
      <c r="BK45" s="886"/>
      <c r="BL45" s="886"/>
      <c r="BM45" s="886"/>
    </row>
    <row r="46" spans="1:65" s="930" customFormat="1" ht="57" customHeight="1" thickBot="1" x14ac:dyDescent="0.8">
      <c r="A46" s="1854" t="s">
        <v>40</v>
      </c>
      <c r="B46" s="1855">
        <f>'[4]int.bevételek RM I'!B46</f>
        <v>16670</v>
      </c>
      <c r="C46" s="1855">
        <f>'[4]int.bevételek RM III'!D46</f>
        <v>26982</v>
      </c>
      <c r="D46" s="1855">
        <v>26954</v>
      </c>
      <c r="E46" s="1823">
        <f>D46/C46</f>
        <v>0.99896227114372549</v>
      </c>
      <c r="F46" s="1855">
        <f>'[4]int.bevételek RM I'!E46</f>
        <v>0</v>
      </c>
      <c r="G46" s="1855">
        <f>'[4]int.bevételek RM III'!G46</f>
        <v>49435</v>
      </c>
      <c r="H46" s="1855">
        <v>49436</v>
      </c>
      <c r="I46" s="1823">
        <f>H46/G46</f>
        <v>1.0000202285829878</v>
      </c>
      <c r="J46" s="1855">
        <f>'[4]int.bevételek RM I'!H46</f>
        <v>0</v>
      </c>
      <c r="K46" s="1855">
        <f>'[4]int.bevételek RM III'!J46</f>
        <v>0</v>
      </c>
      <c r="L46" s="1855"/>
      <c r="M46" s="1823"/>
      <c r="N46" s="1855">
        <f>'[4]int.bevételek RM I'!K46</f>
        <v>1850</v>
      </c>
      <c r="O46" s="1855">
        <f>'[4]int.bevételek RM III'!M46</f>
        <v>1850</v>
      </c>
      <c r="P46" s="1855">
        <v>769</v>
      </c>
      <c r="Q46" s="1823">
        <f>P46/O46</f>
        <v>0.41567567567567565</v>
      </c>
      <c r="R46" s="1856">
        <f t="shared" si="15"/>
        <v>18520</v>
      </c>
      <c r="S46" s="1856">
        <f t="shared" si="15"/>
        <v>78267</v>
      </c>
      <c r="T46" s="1856">
        <f t="shared" si="15"/>
        <v>77159</v>
      </c>
      <c r="U46" s="1857">
        <f>T46/S46</f>
        <v>0.9858433311612812</v>
      </c>
      <c r="V46" s="1854" t="s">
        <v>40</v>
      </c>
      <c r="W46" s="1855">
        <f>'[4]int.bevételek RM I'!R46</f>
        <v>0</v>
      </c>
      <c r="X46" s="1855">
        <f>'[4]int.bevételek RM III'!T46</f>
        <v>1653</v>
      </c>
      <c r="Y46" s="1855">
        <v>1653</v>
      </c>
      <c r="Z46" s="1823">
        <f>Y46/X46</f>
        <v>1</v>
      </c>
      <c r="AA46" s="1855">
        <f>'[4]int.bevételek RM I'!U46</f>
        <v>0</v>
      </c>
      <c r="AB46" s="1855">
        <f>'[4]int.bevételek RM III'!W46</f>
        <v>0</v>
      </c>
      <c r="AC46" s="1855"/>
      <c r="AD46" s="1823"/>
      <c r="AE46" s="1855">
        <f>'[4]int.bevételek RM I'!X46</f>
        <v>0</v>
      </c>
      <c r="AF46" s="1855">
        <f>'[4]int.bevételek RM III'!Z46</f>
        <v>0</v>
      </c>
      <c r="AG46" s="1855"/>
      <c r="AH46" s="1823"/>
      <c r="AI46" s="1856">
        <f t="shared" si="16"/>
        <v>0</v>
      </c>
      <c r="AJ46" s="1856">
        <f t="shared" si="16"/>
        <v>1653</v>
      </c>
      <c r="AK46" s="1856">
        <f t="shared" si="16"/>
        <v>1653</v>
      </c>
      <c r="AL46" s="1857">
        <f>AK46/AJ46</f>
        <v>1</v>
      </c>
      <c r="AM46" s="1855"/>
      <c r="AN46" s="1855">
        <f>'[4]int.bevételek RM III'!AJ46</f>
        <v>7139</v>
      </c>
      <c r="AO46" s="1855">
        <v>7139</v>
      </c>
      <c r="AP46" s="1823">
        <f>AO46/AN46</f>
        <v>1</v>
      </c>
      <c r="AQ46" s="1854" t="s">
        <v>40</v>
      </c>
      <c r="AR46" s="1855">
        <f>'[4]int.bevételek RM I'!AK46</f>
        <v>2955272</v>
      </c>
      <c r="AS46" s="1855">
        <f>'[4]int.bevételek RM III'!AM46</f>
        <v>3192407</v>
      </c>
      <c r="AT46" s="1855">
        <f>3114585-145884</f>
        <v>2968701</v>
      </c>
      <c r="AU46" s="1823">
        <f>AT46/AS46</f>
        <v>0.92992560159152637</v>
      </c>
      <c r="AV46" s="1855">
        <f>'[4]int.bevételek RM I'!AN46</f>
        <v>150150</v>
      </c>
      <c r="AW46" s="1855">
        <f>'[4]int.bevételek RM III'!AP46</f>
        <v>213935</v>
      </c>
      <c r="AX46" s="1855">
        <v>145884</v>
      </c>
      <c r="AY46" s="1858">
        <f>AX46/AW46</f>
        <v>0.68190805618528993</v>
      </c>
      <c r="AZ46" s="1856">
        <f t="shared" si="17"/>
        <v>3105422</v>
      </c>
      <c r="BA46" s="1856">
        <f t="shared" si="17"/>
        <v>3406342</v>
      </c>
      <c r="BB46" s="1856">
        <f t="shared" si="17"/>
        <v>3114585</v>
      </c>
      <c r="BC46" s="1857">
        <f>BB46/BA46</f>
        <v>0.9143488821733109</v>
      </c>
      <c r="BD46" s="1856">
        <f t="shared" si="18"/>
        <v>3123942</v>
      </c>
      <c r="BE46" s="1856">
        <f t="shared" si="18"/>
        <v>3493401</v>
      </c>
      <c r="BF46" s="1856">
        <f t="shared" si="18"/>
        <v>3200536</v>
      </c>
      <c r="BG46" s="1857">
        <f>BF46/BE46</f>
        <v>0.91616622311609808</v>
      </c>
      <c r="BH46" s="897"/>
      <c r="BI46" s="897"/>
      <c r="BJ46" s="897"/>
      <c r="BK46" s="897"/>
      <c r="BL46" s="897"/>
      <c r="BM46" s="897"/>
    </row>
    <row r="47" spans="1:65" ht="57" customHeight="1" thickBot="1" x14ac:dyDescent="0.8">
      <c r="A47" s="1859" t="s">
        <v>1176</v>
      </c>
      <c r="B47" s="1860">
        <f>SUM(B45:B46)</f>
        <v>205493</v>
      </c>
      <c r="C47" s="1860">
        <f>SUM(C45:C46)</f>
        <v>212696</v>
      </c>
      <c r="D47" s="1860">
        <f>SUM(D45:D46)</f>
        <v>212668</v>
      </c>
      <c r="E47" s="1830">
        <f>D47/C47</f>
        <v>0.99986835671568808</v>
      </c>
      <c r="F47" s="1860">
        <f>SUM(F45:F46)</f>
        <v>0</v>
      </c>
      <c r="G47" s="1860">
        <f>SUM(G45:G46)</f>
        <v>49435</v>
      </c>
      <c r="H47" s="1860">
        <f>SUM(H45:H46)</f>
        <v>49436</v>
      </c>
      <c r="I47" s="1830">
        <f>H47/G47</f>
        <v>1.0000202285829878</v>
      </c>
      <c r="J47" s="1860">
        <f>SUM(J45:J46)</f>
        <v>0</v>
      </c>
      <c r="K47" s="1860">
        <f>SUM(K45:K46)</f>
        <v>0</v>
      </c>
      <c r="L47" s="1860">
        <f>SUM(L45:L46)</f>
        <v>0</v>
      </c>
      <c r="M47" s="1830"/>
      <c r="N47" s="1860">
        <f>SUM(N45:N46)</f>
        <v>1850</v>
      </c>
      <c r="O47" s="1860">
        <f>SUM(O45:O46)</f>
        <v>1850</v>
      </c>
      <c r="P47" s="1860">
        <f>SUM(P45:P46)</f>
        <v>769</v>
      </c>
      <c r="Q47" s="1830">
        <f>P47/O47</f>
        <v>0.41567567567567565</v>
      </c>
      <c r="R47" s="1860">
        <f>SUM(R45:R46)</f>
        <v>207343</v>
      </c>
      <c r="S47" s="1860">
        <f>SUM(S45:S46)</f>
        <v>263981</v>
      </c>
      <c r="T47" s="1860">
        <f>SUM(T45:T46)</f>
        <v>262873</v>
      </c>
      <c r="U47" s="1830">
        <f>T47/S47</f>
        <v>0.99580272822665272</v>
      </c>
      <c r="V47" s="1859" t="s">
        <v>1176</v>
      </c>
      <c r="W47" s="1860">
        <f>SUM(W45:W46)</f>
        <v>0</v>
      </c>
      <c r="X47" s="1860">
        <f>SUM(X45:X46)</f>
        <v>1653</v>
      </c>
      <c r="Y47" s="1860">
        <f>SUM(Y45:Y46)</f>
        <v>1653</v>
      </c>
      <c r="Z47" s="1830">
        <f>Y47/X47</f>
        <v>1</v>
      </c>
      <c r="AA47" s="1860">
        <f>SUM(AA45:AA46)</f>
        <v>0</v>
      </c>
      <c r="AB47" s="1860">
        <f>SUM(AB45:AB46)</f>
        <v>0</v>
      </c>
      <c r="AC47" s="1860">
        <f>SUM(AC45:AC46)</f>
        <v>0</v>
      </c>
      <c r="AD47" s="1830"/>
      <c r="AE47" s="1860">
        <f>SUM(AE45:AE46)</f>
        <v>0</v>
      </c>
      <c r="AF47" s="1860">
        <f>SUM(AF45:AF46)</f>
        <v>0</v>
      </c>
      <c r="AG47" s="1860">
        <f>SUM(AG45:AG46)</f>
        <v>0</v>
      </c>
      <c r="AH47" s="1830"/>
      <c r="AI47" s="1860">
        <f>SUM(AI45:AI46)</f>
        <v>0</v>
      </c>
      <c r="AJ47" s="1860">
        <f>SUM(AJ45:AJ46)</f>
        <v>1653</v>
      </c>
      <c r="AK47" s="1860">
        <f>SUM(AK45:AK46)</f>
        <v>1653</v>
      </c>
      <c r="AL47" s="1830">
        <f>AK47/AJ47</f>
        <v>1</v>
      </c>
      <c r="AM47" s="1860">
        <f>SUM(AM45:AM46)</f>
        <v>0</v>
      </c>
      <c r="AN47" s="1860">
        <f>SUM(AN45:AN46)</f>
        <v>7859</v>
      </c>
      <c r="AO47" s="1860">
        <f>SUM(AO45:AO46)</f>
        <v>7859</v>
      </c>
      <c r="AP47" s="1830">
        <f>AO47/AN47</f>
        <v>1</v>
      </c>
      <c r="AQ47" s="1859" t="s">
        <v>1176</v>
      </c>
      <c r="AR47" s="1860">
        <f>SUM(AR45:AR46)</f>
        <v>2972258</v>
      </c>
      <c r="AS47" s="1860">
        <f>SUM(AS45:AS46)</f>
        <v>3224641</v>
      </c>
      <c r="AT47" s="1860">
        <f>SUM(AT45:AT46)</f>
        <v>3000935</v>
      </c>
      <c r="AU47" s="1830">
        <f>AT47/AS47</f>
        <v>0.93062607589496005</v>
      </c>
      <c r="AV47" s="1860">
        <f>SUM(AV45:AV46)</f>
        <v>150150</v>
      </c>
      <c r="AW47" s="1860">
        <f>SUM(AW45:AW46)</f>
        <v>227060</v>
      </c>
      <c r="AX47" s="1860">
        <f>SUM(AX45:AX46)</f>
        <v>156009</v>
      </c>
      <c r="AY47" s="1830">
        <f>AX47/AW47</f>
        <v>0.68708270941601335</v>
      </c>
      <c r="AZ47" s="1860">
        <f>SUM(AZ45:AZ46)</f>
        <v>3122408</v>
      </c>
      <c r="BA47" s="1860">
        <f>SUM(BA45:BA46)</f>
        <v>3451701</v>
      </c>
      <c r="BB47" s="1860">
        <f>SUM(BB45:BB46)</f>
        <v>3156944</v>
      </c>
      <c r="BC47" s="1830">
        <f>BB47/BA47</f>
        <v>0.91460529170979754</v>
      </c>
      <c r="BD47" s="1860">
        <f>SUM(BD45:BD46)</f>
        <v>3329751</v>
      </c>
      <c r="BE47" s="1860">
        <f>SUM(BE45:BE46)</f>
        <v>3725194</v>
      </c>
      <c r="BF47" s="1860">
        <f>SUM(BF45:BF46)</f>
        <v>3429329</v>
      </c>
      <c r="BG47" s="1830">
        <f>BF47/BE47</f>
        <v>0.92057729073975747</v>
      </c>
      <c r="BH47" s="886"/>
      <c r="BI47" s="886"/>
      <c r="BJ47" s="886"/>
      <c r="BK47" s="886"/>
      <c r="BL47" s="886"/>
      <c r="BM47" s="886"/>
    </row>
    <row r="48" spans="1:65" ht="57" customHeight="1" thickBot="1" x14ac:dyDescent="0.8">
      <c r="A48" s="1859" t="s">
        <v>1177</v>
      </c>
      <c r="B48" s="1856">
        <f>B37+B39+B41+B43+B47</f>
        <v>798634</v>
      </c>
      <c r="C48" s="1856">
        <f>C37+C39+C41+C43+C47</f>
        <v>968910</v>
      </c>
      <c r="D48" s="1856">
        <f>D37+D39+D41+D43+D47</f>
        <v>920879</v>
      </c>
      <c r="E48" s="1826">
        <f>D48/C48</f>
        <v>0.9504278003116905</v>
      </c>
      <c r="F48" s="1856">
        <f>F37+F39+F41+F43+F47</f>
        <v>432100</v>
      </c>
      <c r="G48" s="1856">
        <f>G37+G39+G41+G43+G47</f>
        <v>925174</v>
      </c>
      <c r="H48" s="1856">
        <f>H37+H39+H41+H43+H47</f>
        <v>925175</v>
      </c>
      <c r="I48" s="1826">
        <f>H48/G48</f>
        <v>1.0000010808777593</v>
      </c>
      <c r="J48" s="1856">
        <f>J37+J39+J41+J43+J47</f>
        <v>0</v>
      </c>
      <c r="K48" s="1856">
        <f>K37+K39+K41+K43+K47</f>
        <v>20778</v>
      </c>
      <c r="L48" s="1856">
        <f>L37+L39+L41+L43+L47</f>
        <v>20778</v>
      </c>
      <c r="M48" s="1826">
        <f>L48/K48</f>
        <v>1</v>
      </c>
      <c r="N48" s="1856">
        <f>N37+N39+N41+N43+N47</f>
        <v>1850</v>
      </c>
      <c r="O48" s="1856">
        <f>O37+O39+O41+O43+O47</f>
        <v>1850</v>
      </c>
      <c r="P48" s="1856">
        <f>P37+P39+P41+P43+P47</f>
        <v>769</v>
      </c>
      <c r="Q48" s="1826">
        <f>P48/O48</f>
        <v>0.41567567567567565</v>
      </c>
      <c r="R48" s="1856">
        <f>R37+R39+R41+R43+R47</f>
        <v>1232584</v>
      </c>
      <c r="S48" s="1856">
        <f>S37+S39+S41+S43+S47</f>
        <v>1916712</v>
      </c>
      <c r="T48" s="1856">
        <f>T37+T39+T41+T43+T47</f>
        <v>1867601</v>
      </c>
      <c r="U48" s="1826">
        <f>T48/S48</f>
        <v>0.97437747559362076</v>
      </c>
      <c r="V48" s="1859" t="s">
        <v>1177</v>
      </c>
      <c r="W48" s="1856">
        <f>W37+W39+W41+W43+W47</f>
        <v>0</v>
      </c>
      <c r="X48" s="1856">
        <f>X37+X39+X41+X43+X47</f>
        <v>11955</v>
      </c>
      <c r="Y48" s="1856">
        <f>Y37+Y39+Y41+Y43+Y47</f>
        <v>11955</v>
      </c>
      <c r="Z48" s="1826">
        <f>Y48/X48</f>
        <v>1</v>
      </c>
      <c r="AA48" s="1856">
        <f>AA37+AA39+AA41+AA43+AA47</f>
        <v>250</v>
      </c>
      <c r="AB48" s="1856">
        <f>AB37+AB39+AB41+AB43+AB47</f>
        <v>40076</v>
      </c>
      <c r="AC48" s="1856">
        <f>AC37+AC39+AC41+AC43+AC47</f>
        <v>40076</v>
      </c>
      <c r="AD48" s="1826">
        <f>AC48/AB48</f>
        <v>1</v>
      </c>
      <c r="AE48" s="1856">
        <f>AE37+AE39+AE41+AE43+AE47</f>
        <v>0</v>
      </c>
      <c r="AF48" s="1856">
        <f>AF37+AF39+AF41+AF43+AF47</f>
        <v>0</v>
      </c>
      <c r="AG48" s="1856">
        <f>AG37+AG39+AG41+AG43+AG47</f>
        <v>0</v>
      </c>
      <c r="AH48" s="1826"/>
      <c r="AI48" s="1856">
        <f>AI37+AI39+AI41+AI43+AI47</f>
        <v>250</v>
      </c>
      <c r="AJ48" s="1856">
        <f>AJ37+AJ39+AJ41+AJ43+AJ47</f>
        <v>52031</v>
      </c>
      <c r="AK48" s="1856">
        <f>AK37+AK39+AK41+AK43+AK47</f>
        <v>52031</v>
      </c>
      <c r="AL48" s="1826">
        <f>AK48/AJ48</f>
        <v>1</v>
      </c>
      <c r="AM48" s="1856">
        <f>AM37+AM39+AM41+AM43+AM47</f>
        <v>0</v>
      </c>
      <c r="AN48" s="1856">
        <f>AN37+AN39+AN41+AN43+AN47</f>
        <v>428893</v>
      </c>
      <c r="AO48" s="1856">
        <f>AO37+AO39+AO41+AO43+AO47</f>
        <v>428894</v>
      </c>
      <c r="AP48" s="1826">
        <f>AO48/AN48</f>
        <v>1.0000023315838682</v>
      </c>
      <c r="AQ48" s="1859" t="s">
        <v>1177</v>
      </c>
      <c r="AR48" s="1856">
        <f>AR37+AR39+AR41+AR43+AR47</f>
        <v>7892139</v>
      </c>
      <c r="AS48" s="1856">
        <f>AS37+AS39+AS41+AS43+AS47</f>
        <v>8784024</v>
      </c>
      <c r="AT48" s="1856">
        <f>AT37+AT39+AT41+AT43+AT47</f>
        <v>8424660</v>
      </c>
      <c r="AU48" s="1826">
        <f>AT48/AS48</f>
        <v>0.95908890959314319</v>
      </c>
      <c r="AV48" s="1856">
        <f>AV37+AV39+AV41+AV43+AV47</f>
        <v>151928</v>
      </c>
      <c r="AW48" s="1856">
        <f>AW37+AW39+AW41+AW43+AW47</f>
        <v>485356</v>
      </c>
      <c r="AX48" s="1856">
        <f>AX37+AX39+AX41+AX43+AX47</f>
        <v>364441</v>
      </c>
      <c r="AY48" s="1826">
        <f>AX48/AW48</f>
        <v>0.75087358557430006</v>
      </c>
      <c r="AZ48" s="1856">
        <f>AZ37+AZ39+AZ41+AZ43+AZ47</f>
        <v>8044067</v>
      </c>
      <c r="BA48" s="1856">
        <f>BA37+BA39+BA41+BA43+BA47</f>
        <v>9269380</v>
      </c>
      <c r="BB48" s="1856">
        <f>BB37+BB39+BB41+BB43+BB47</f>
        <v>8789101</v>
      </c>
      <c r="BC48" s="1826">
        <f>BB48/BA48</f>
        <v>0.9481865022256073</v>
      </c>
      <c r="BD48" s="1856">
        <f>BD37+BD39+BD41+BD43+BD47</f>
        <v>9276901</v>
      </c>
      <c r="BE48" s="1856">
        <f>BE37+BE39+BE41+BE43+BE47</f>
        <v>11667016</v>
      </c>
      <c r="BF48" s="1856">
        <f>BF37+BF39+BF41+BF43+BF47</f>
        <v>11137627</v>
      </c>
      <c r="BG48" s="1826">
        <f>BF48/BE48</f>
        <v>0.95462515865239239</v>
      </c>
      <c r="BH48" s="886"/>
      <c r="BI48" s="886"/>
      <c r="BJ48" s="886"/>
      <c r="BK48" s="886"/>
      <c r="BL48" s="886"/>
      <c r="BM48" s="886"/>
    </row>
    <row r="49" spans="1:65" ht="57" customHeight="1" thickBot="1" x14ac:dyDescent="0.8">
      <c r="A49" s="1842" t="s">
        <v>1178</v>
      </c>
      <c r="B49" s="1825">
        <f>B30+B48</f>
        <v>1426835</v>
      </c>
      <c r="C49" s="1825">
        <f>C30+C48</f>
        <v>1577093</v>
      </c>
      <c r="D49" s="1825">
        <f>D30+D48</f>
        <v>1529040</v>
      </c>
      <c r="E49" s="1818">
        <f>D49/C49</f>
        <v>0.96953064911200548</v>
      </c>
      <c r="F49" s="1825">
        <f>F30+F48</f>
        <v>432100</v>
      </c>
      <c r="G49" s="1825">
        <f>G30+G48</f>
        <v>928917</v>
      </c>
      <c r="H49" s="1825">
        <f>H30+H48</f>
        <v>928913</v>
      </c>
      <c r="I49" s="1826">
        <f>H49/G49</f>
        <v>0.99999569391022014</v>
      </c>
      <c r="J49" s="1825">
        <f>J30+J48</f>
        <v>0</v>
      </c>
      <c r="K49" s="1825">
        <f>K30+K48</f>
        <v>21832</v>
      </c>
      <c r="L49" s="1825">
        <f>L30+L48</f>
        <v>21831</v>
      </c>
      <c r="M49" s="1826">
        <f>L49/K49</f>
        <v>0.9999541956760718</v>
      </c>
      <c r="N49" s="1825">
        <f>N30+N48</f>
        <v>1850</v>
      </c>
      <c r="O49" s="1825">
        <f>O30+O48</f>
        <v>1850</v>
      </c>
      <c r="P49" s="1825">
        <f>P30+P48</f>
        <v>769</v>
      </c>
      <c r="Q49" s="1826">
        <f>P49/O49</f>
        <v>0.41567567567567565</v>
      </c>
      <c r="R49" s="1825">
        <f>R30+R48</f>
        <v>1860785</v>
      </c>
      <c r="S49" s="1825">
        <f>S30+S48</f>
        <v>2529692</v>
      </c>
      <c r="T49" s="1825">
        <f>T30+T48</f>
        <v>2480553</v>
      </c>
      <c r="U49" s="1826">
        <f>T49/S49</f>
        <v>0.98057510558597649</v>
      </c>
      <c r="V49" s="1861" t="s">
        <v>1178</v>
      </c>
      <c r="W49" s="1825">
        <f>W30+W48</f>
        <v>0</v>
      </c>
      <c r="X49" s="1825">
        <f>X30+X48</f>
        <v>12115</v>
      </c>
      <c r="Y49" s="1825">
        <f>Y30+Y48</f>
        <v>12115</v>
      </c>
      <c r="Z49" s="1826">
        <f>Y49/X49</f>
        <v>1</v>
      </c>
      <c r="AA49" s="1825">
        <f>AA30+AA48</f>
        <v>250</v>
      </c>
      <c r="AB49" s="1825">
        <f>AB30+AB48</f>
        <v>40076</v>
      </c>
      <c r="AC49" s="1825">
        <f>AC30+AC48</f>
        <v>40076</v>
      </c>
      <c r="AD49" s="1826">
        <f>AC49/AB49</f>
        <v>1</v>
      </c>
      <c r="AE49" s="1825">
        <f>AE30+AE48</f>
        <v>0</v>
      </c>
      <c r="AF49" s="1825">
        <f>AF30+AF48</f>
        <v>0</v>
      </c>
      <c r="AG49" s="1825">
        <f>AG30+AG48</f>
        <v>0</v>
      </c>
      <c r="AH49" s="1826"/>
      <c r="AI49" s="1825">
        <f>AI30+AI48</f>
        <v>250</v>
      </c>
      <c r="AJ49" s="1825">
        <f>AJ30+AJ48</f>
        <v>52191</v>
      </c>
      <c r="AK49" s="1825">
        <f>AK30+AK48</f>
        <v>52191</v>
      </c>
      <c r="AL49" s="1826">
        <f>AK49/AJ49</f>
        <v>1</v>
      </c>
      <c r="AM49" s="1825">
        <f>AM30+AM48</f>
        <v>0</v>
      </c>
      <c r="AN49" s="1825">
        <f>AN30+AN48</f>
        <v>497891</v>
      </c>
      <c r="AO49" s="1825">
        <f>AO30+AO48</f>
        <v>497891</v>
      </c>
      <c r="AP49" s="1826">
        <f>AO49/AN49</f>
        <v>1</v>
      </c>
      <c r="AQ49" s="1861" t="s">
        <v>1178</v>
      </c>
      <c r="AR49" s="1825">
        <f>AR30+AR48</f>
        <v>12531047</v>
      </c>
      <c r="AS49" s="1825">
        <f>AS30+AS48</f>
        <v>13515617</v>
      </c>
      <c r="AT49" s="1825">
        <f>AT30+AT48</f>
        <v>12992756</v>
      </c>
      <c r="AU49" s="1826">
        <f>AT49/AS49</f>
        <v>0.96131430773748616</v>
      </c>
      <c r="AV49" s="1825">
        <f>AV30+AV48</f>
        <v>151928</v>
      </c>
      <c r="AW49" s="1825">
        <f>AW30+AW48</f>
        <v>625770</v>
      </c>
      <c r="AX49" s="1825">
        <f>AX30+AX48</f>
        <v>445882</v>
      </c>
      <c r="AY49" s="1826">
        <f>AX49/AW49</f>
        <v>0.71253335890183289</v>
      </c>
      <c r="AZ49" s="1825">
        <f>AZ30+AZ48</f>
        <v>12682975</v>
      </c>
      <c r="BA49" s="1825">
        <f>BA30+BA48</f>
        <v>14141387</v>
      </c>
      <c r="BB49" s="1825">
        <f>BB30+BB48</f>
        <v>13438638</v>
      </c>
      <c r="BC49" s="1826">
        <f>BB49/BA49</f>
        <v>0.95030551105064875</v>
      </c>
      <c r="BD49" s="1825">
        <f>BD30+BD48</f>
        <v>14544010</v>
      </c>
      <c r="BE49" s="1825">
        <f>BE30+BE48</f>
        <v>17221161</v>
      </c>
      <c r="BF49" s="1825">
        <f>BF30+BF48</f>
        <v>16469273</v>
      </c>
      <c r="BG49" s="1826">
        <f>BF49/BE49</f>
        <v>0.95633929675240825</v>
      </c>
      <c r="BH49" s="886"/>
      <c r="BI49" s="886"/>
      <c r="BJ49" s="886"/>
      <c r="BK49" s="886"/>
      <c r="BL49" s="886"/>
      <c r="BM49" s="886"/>
    </row>
    <row r="50" spans="1:65" s="946" customFormat="1" ht="49.5" customHeight="1" x14ac:dyDescent="0.7">
      <c r="A50" s="942"/>
      <c r="B50" s="943"/>
      <c r="C50" s="943"/>
      <c r="D50" s="943"/>
      <c r="E50" s="943"/>
      <c r="F50" s="943"/>
      <c r="G50" s="943"/>
      <c r="H50" s="943"/>
      <c r="I50" s="943"/>
      <c r="J50" s="943"/>
      <c r="K50" s="943"/>
      <c r="L50" s="943"/>
      <c r="M50" s="943"/>
      <c r="N50" s="943"/>
      <c r="O50" s="943"/>
      <c r="P50" s="943"/>
      <c r="Q50" s="943"/>
      <c r="R50" s="943"/>
      <c r="S50" s="943"/>
      <c r="T50" s="943"/>
      <c r="U50" s="943"/>
      <c r="V50" s="942"/>
      <c r="W50" s="943"/>
      <c r="X50" s="943"/>
      <c r="Y50" s="943"/>
      <c r="Z50" s="943"/>
      <c r="AA50" s="943"/>
      <c r="AB50" s="943"/>
      <c r="AC50" s="943"/>
      <c r="AD50" s="943"/>
      <c r="AE50" s="943"/>
      <c r="AF50" s="943"/>
      <c r="AG50" s="943"/>
      <c r="AH50" s="943"/>
      <c r="AI50" s="943"/>
      <c r="AJ50" s="943"/>
      <c r="AK50" s="943"/>
      <c r="AL50" s="943"/>
      <c r="AM50" s="942"/>
      <c r="AN50" s="942"/>
      <c r="AO50" s="942"/>
      <c r="AP50" s="942"/>
      <c r="AQ50" s="942"/>
      <c r="AR50" s="942"/>
      <c r="AS50" s="942"/>
      <c r="AT50" s="942"/>
      <c r="AU50" s="942"/>
      <c r="AV50" s="942"/>
      <c r="AW50" s="942"/>
      <c r="AX50" s="942"/>
      <c r="AY50" s="942"/>
      <c r="AZ50" s="942"/>
      <c r="BA50" s="942"/>
      <c r="BB50" s="944"/>
      <c r="BC50" s="944"/>
      <c r="BD50" s="944"/>
      <c r="BE50" s="944"/>
      <c r="BF50" s="945"/>
      <c r="BG50" s="945"/>
      <c r="BH50" s="945"/>
      <c r="BI50" s="945"/>
      <c r="BJ50" s="945"/>
      <c r="BK50" s="945"/>
      <c r="BL50" s="945"/>
      <c r="BM50" s="945"/>
    </row>
    <row r="51" spans="1:65" ht="26.45" customHeight="1" x14ac:dyDescent="0.6">
      <c r="A51" s="948"/>
      <c r="V51" s="948"/>
      <c r="AM51" s="948"/>
      <c r="AN51" s="948"/>
      <c r="AO51" s="948"/>
      <c r="AP51" s="948"/>
      <c r="AQ51" s="948"/>
      <c r="AR51" s="948"/>
      <c r="AS51" s="948"/>
      <c r="AT51" s="948"/>
      <c r="AU51" s="948"/>
      <c r="AV51" s="948"/>
      <c r="AW51" s="948"/>
      <c r="AX51" s="948"/>
      <c r="AY51" s="948"/>
      <c r="AZ51" s="948"/>
      <c r="BA51" s="948"/>
    </row>
    <row r="52" spans="1:65" ht="26.45" customHeight="1" x14ac:dyDescent="0.6">
      <c r="A52" s="948"/>
      <c r="V52" s="948"/>
      <c r="AM52" s="948"/>
      <c r="AN52" s="948"/>
      <c r="AO52" s="948"/>
      <c r="AP52" s="948"/>
      <c r="AQ52" s="948"/>
      <c r="AR52" s="948"/>
      <c r="AS52" s="948"/>
      <c r="AT52" s="948"/>
      <c r="AU52" s="948"/>
      <c r="AV52" s="948"/>
      <c r="AW52" s="948"/>
      <c r="AX52" s="948"/>
      <c r="AY52" s="948"/>
      <c r="AZ52" s="948"/>
      <c r="BA52" s="948"/>
    </row>
    <row r="53" spans="1:65" ht="26.45" customHeight="1" x14ac:dyDescent="0.6">
      <c r="V53" s="890"/>
      <c r="AQ53" s="890"/>
    </row>
    <row r="54" spans="1:65" ht="26.45" customHeight="1" x14ac:dyDescent="0.6">
      <c r="V54" s="890"/>
      <c r="AQ54" s="890"/>
    </row>
    <row r="55" spans="1:65" ht="26.45" customHeight="1" x14ac:dyDescent="0.6">
      <c r="V55" s="890"/>
      <c r="AQ55" s="890"/>
    </row>
    <row r="56" spans="1:65" ht="26.45" customHeight="1" x14ac:dyDescent="0.6">
      <c r="V56" s="890"/>
      <c r="AQ56" s="890"/>
    </row>
    <row r="57" spans="1:65" ht="26.45" customHeight="1" x14ac:dyDescent="0.6">
      <c r="V57" s="890"/>
      <c r="AQ57" s="890"/>
    </row>
    <row r="58" spans="1:65" ht="26.45" customHeight="1" x14ac:dyDescent="0.6">
      <c r="V58" s="890"/>
      <c r="AQ58" s="890"/>
    </row>
    <row r="59" spans="1:65" ht="26.45" customHeight="1" x14ac:dyDescent="0.6">
      <c r="V59" s="890"/>
      <c r="AQ59" s="890"/>
    </row>
    <row r="60" spans="1:65" ht="26.45" customHeight="1" x14ac:dyDescent="0.6">
      <c r="V60" s="890"/>
      <c r="AQ60" s="890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" right="0" top="0" bottom="0" header="0" footer="0"/>
  <pageSetup paperSize="9" scale="15" orientation="landscape" r:id="rId1"/>
  <headerFooter alignWithMargins="0">
    <oddHeader xml:space="preserve">&amp;L&amp;20
&amp;R&amp;"-,Félkövér"&amp;36 &amp;48 &amp;60 4. melléklet  a .../2025. (........) önkormányzati rendelethez 
 </oddHeader>
    <oddFooter xml:space="preserve">&amp;C &amp;R
&amp;36 &amp;10
</oddFooter>
  </headerFooter>
  <colBreaks count="2" manualBreakCount="2">
    <brk id="21" max="49" man="1"/>
    <brk id="4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C7749-4ACB-4B1E-8DAD-27D4875F4126}">
  <dimension ref="A1:E101"/>
  <sheetViews>
    <sheetView topLeftCell="A82" zoomScale="44" zoomScaleNormal="44" workbookViewId="0">
      <selection activeCell="K9" sqref="K9"/>
    </sheetView>
  </sheetViews>
  <sheetFormatPr defaultColWidth="10.33203125" defaultRowHeight="72" customHeight="1" x14ac:dyDescent="0.3"/>
  <cols>
    <col min="1" max="1" width="162.6640625" style="1133" bestFit="1" customWidth="1"/>
    <col min="2" max="2" width="33.83203125" style="1134" bestFit="1" customWidth="1"/>
    <col min="3" max="3" width="39.33203125" style="1134" bestFit="1" customWidth="1"/>
    <col min="4" max="5" width="35.83203125" style="1134" customWidth="1"/>
    <col min="6" max="16384" width="10.33203125" style="1132"/>
  </cols>
  <sheetData>
    <row r="1" spans="1:5" s="1131" customFormat="1" ht="43.5" customHeight="1" x14ac:dyDescent="0.5">
      <c r="A1" s="1226" t="s">
        <v>1203</v>
      </c>
      <c r="B1" s="1226"/>
      <c r="C1" s="1226"/>
      <c r="D1" s="1226"/>
    </row>
    <row r="2" spans="1:5" ht="33" customHeight="1" x14ac:dyDescent="0.5">
      <c r="A2" s="1928" t="s">
        <v>1204</v>
      </c>
      <c r="B2" s="1928"/>
      <c r="C2" s="1928"/>
      <c r="D2" s="1928"/>
      <c r="E2" s="1132"/>
    </row>
    <row r="3" spans="1:5" ht="28.5" customHeight="1" thickBot="1" x14ac:dyDescent="0.35"/>
    <row r="4" spans="1:5" s="1140" customFormat="1" ht="123.75" customHeight="1" x14ac:dyDescent="0.4">
      <c r="A4" s="1138" t="s">
        <v>1205</v>
      </c>
      <c r="B4" s="1139" t="s">
        <v>1206</v>
      </c>
      <c r="C4" s="1139" t="s">
        <v>1207</v>
      </c>
      <c r="D4" s="1139" t="s">
        <v>1208</v>
      </c>
      <c r="E4" s="1139" t="s">
        <v>1209</v>
      </c>
    </row>
    <row r="5" spans="1:5" s="1143" customFormat="1" ht="77.25" customHeight="1" x14ac:dyDescent="0.4">
      <c r="A5" s="1141" t="s">
        <v>1210</v>
      </c>
      <c r="B5" s="1142"/>
      <c r="C5" s="1142"/>
      <c r="D5" s="1142"/>
      <c r="E5" s="1142"/>
    </row>
    <row r="6" spans="1:5" s="1143" customFormat="1" ht="51" customHeight="1" x14ac:dyDescent="0.5">
      <c r="A6" s="1144" t="s">
        <v>1211</v>
      </c>
      <c r="B6" s="1145">
        <v>1066402</v>
      </c>
      <c r="C6" s="1145">
        <v>1066402</v>
      </c>
      <c r="D6" s="1145">
        <v>1066402</v>
      </c>
      <c r="E6" s="1145">
        <f>D6-C6</f>
        <v>0</v>
      </c>
    </row>
    <row r="7" spans="1:5" s="1143" customFormat="1" ht="75.75" customHeight="1" x14ac:dyDescent="0.5">
      <c r="A7" s="1146" t="s">
        <v>1212</v>
      </c>
      <c r="B7" s="1147">
        <v>83140</v>
      </c>
      <c r="C7" s="1147">
        <v>83140</v>
      </c>
      <c r="D7" s="1147">
        <v>83140</v>
      </c>
      <c r="E7" s="1147">
        <f t="shared" ref="E7:E13" si="0">D7-C7</f>
        <v>0</v>
      </c>
    </row>
    <row r="8" spans="1:5" s="1143" customFormat="1" ht="54.75" customHeight="1" x14ac:dyDescent="0.5">
      <c r="A8" s="1146" t="s">
        <v>1213</v>
      </c>
      <c r="B8" s="1147">
        <v>218067</v>
      </c>
      <c r="C8" s="1147">
        <v>218067</v>
      </c>
      <c r="D8" s="1147">
        <v>218067</v>
      </c>
      <c r="E8" s="1147">
        <f t="shared" si="0"/>
        <v>0</v>
      </c>
    </row>
    <row r="9" spans="1:5" s="1143" customFormat="1" ht="96" customHeight="1" x14ac:dyDescent="0.5">
      <c r="A9" s="1146" t="s">
        <v>1214</v>
      </c>
      <c r="B9" s="1148">
        <v>30744</v>
      </c>
      <c r="C9" s="1148">
        <v>30744</v>
      </c>
      <c r="D9" s="1148">
        <v>30744</v>
      </c>
      <c r="E9" s="1148">
        <f t="shared" si="0"/>
        <v>0</v>
      </c>
    </row>
    <row r="10" spans="1:5" s="1143" customFormat="1" ht="77.25" customHeight="1" x14ac:dyDescent="0.5">
      <c r="A10" s="1146" t="s">
        <v>1215</v>
      </c>
      <c r="B10" s="1147">
        <v>130601</v>
      </c>
      <c r="C10" s="1147">
        <v>130601</v>
      </c>
      <c r="D10" s="1147">
        <v>130601</v>
      </c>
      <c r="E10" s="1147">
        <f t="shared" si="0"/>
        <v>0</v>
      </c>
    </row>
    <row r="11" spans="1:5" s="1143" customFormat="1" ht="77.25" customHeight="1" x14ac:dyDescent="0.5">
      <c r="A11" s="1146" t="s">
        <v>1216</v>
      </c>
      <c r="B11" s="1147">
        <v>208944</v>
      </c>
      <c r="C11" s="1147">
        <v>208944</v>
      </c>
      <c r="D11" s="1147">
        <v>208944</v>
      </c>
      <c r="E11" s="1147">
        <f t="shared" si="0"/>
        <v>0</v>
      </c>
    </row>
    <row r="12" spans="1:5" s="1143" customFormat="1" ht="77.25" customHeight="1" x14ac:dyDescent="0.5">
      <c r="A12" s="1146" t="s">
        <v>1217</v>
      </c>
      <c r="B12" s="1147">
        <v>186</v>
      </c>
      <c r="C12" s="1147">
        <v>186</v>
      </c>
      <c r="D12" s="1147">
        <v>186</v>
      </c>
      <c r="E12" s="1147">
        <f t="shared" si="0"/>
        <v>0</v>
      </c>
    </row>
    <row r="13" spans="1:5" s="1143" customFormat="1" ht="77.25" customHeight="1" thickBot="1" x14ac:dyDescent="0.55000000000000004">
      <c r="A13" s="1149" t="s">
        <v>1218</v>
      </c>
      <c r="B13" s="1147">
        <v>42</v>
      </c>
      <c r="C13" s="1147">
        <v>42</v>
      </c>
      <c r="D13" s="1145"/>
      <c r="E13" s="1145">
        <f t="shared" si="0"/>
        <v>-42</v>
      </c>
    </row>
    <row r="14" spans="1:5" s="1152" customFormat="1" ht="77.25" customHeight="1" thickTop="1" thickBot="1" x14ac:dyDescent="0.55000000000000004">
      <c r="A14" s="1150" t="s">
        <v>1219</v>
      </c>
      <c r="B14" s="1151">
        <f>SUM(B5:B13)</f>
        <v>1738126</v>
      </c>
      <c r="C14" s="1151">
        <f t="shared" ref="C14:E14" si="1">SUM(C5:C13)</f>
        <v>1738126</v>
      </c>
      <c r="D14" s="1151">
        <f t="shared" si="1"/>
        <v>1738084</v>
      </c>
      <c r="E14" s="1151">
        <f t="shared" si="1"/>
        <v>-42</v>
      </c>
    </row>
    <row r="15" spans="1:5" s="1152" customFormat="1" ht="77.25" customHeight="1" thickTop="1" x14ac:dyDescent="0.5">
      <c r="A15" s="1153" t="s">
        <v>1220</v>
      </c>
      <c r="B15" s="1154"/>
      <c r="C15" s="1154"/>
      <c r="D15" s="1154"/>
      <c r="E15" s="1154"/>
    </row>
    <row r="16" spans="1:5" s="1143" customFormat="1" ht="77.25" customHeight="1" x14ac:dyDescent="0.5">
      <c r="A16" s="1155" t="s">
        <v>1221</v>
      </c>
      <c r="B16" s="1156"/>
      <c r="C16" s="1156"/>
      <c r="D16" s="1156"/>
      <c r="E16" s="1156"/>
    </row>
    <row r="17" spans="1:5" s="1143" customFormat="1" ht="77.25" customHeight="1" x14ac:dyDescent="0.5">
      <c r="A17" s="1157" t="s">
        <v>1222</v>
      </c>
      <c r="B17" s="1145">
        <v>373655</v>
      </c>
      <c r="C17" s="1145">
        <v>374224</v>
      </c>
      <c r="D17" s="1145">
        <v>374620</v>
      </c>
      <c r="E17" s="1145">
        <f t="shared" ref="E17:E44" si="2">D17-C17</f>
        <v>396</v>
      </c>
    </row>
    <row r="18" spans="1:5" s="1143" customFormat="1" ht="77.25" customHeight="1" x14ac:dyDescent="0.5">
      <c r="A18" s="1158" t="s">
        <v>1223</v>
      </c>
      <c r="B18" s="1159"/>
      <c r="C18" s="1159"/>
      <c r="D18" s="1159"/>
      <c r="E18" s="1159"/>
    </row>
    <row r="19" spans="1:5" s="1143" customFormat="1" ht="77.25" customHeight="1" x14ac:dyDescent="0.5">
      <c r="A19" s="1160" t="s">
        <v>1224</v>
      </c>
      <c r="B19" s="1145">
        <v>1681935</v>
      </c>
      <c r="C19" s="1145">
        <v>1686958</v>
      </c>
      <c r="D19" s="1145">
        <f>1688632-22276</f>
        <v>1666356</v>
      </c>
      <c r="E19" s="1145">
        <f t="shared" si="2"/>
        <v>-20602</v>
      </c>
    </row>
    <row r="20" spans="1:5" s="1143" customFormat="1" ht="77.25" customHeight="1" x14ac:dyDescent="0.5">
      <c r="A20" s="1161" t="s">
        <v>1225</v>
      </c>
      <c r="B20" s="1159"/>
      <c r="C20" s="1159"/>
      <c r="D20" s="1159"/>
      <c r="E20" s="1159"/>
    </row>
    <row r="21" spans="1:5" s="1143" customFormat="1" ht="77.25" customHeight="1" x14ac:dyDescent="0.5">
      <c r="A21" s="1162" t="s">
        <v>1226</v>
      </c>
      <c r="B21" s="1156"/>
      <c r="C21" s="1156"/>
      <c r="D21" s="1156"/>
      <c r="E21" s="1156"/>
    </row>
    <row r="22" spans="1:5" s="1143" customFormat="1" ht="77.25" customHeight="1" x14ac:dyDescent="0.5">
      <c r="A22" s="1163" t="s">
        <v>1227</v>
      </c>
      <c r="B22" s="1145">
        <v>14340</v>
      </c>
      <c r="C22" s="1145">
        <v>13336</v>
      </c>
      <c r="D22" s="1145">
        <f>11472-245</f>
        <v>11227</v>
      </c>
      <c r="E22" s="1145">
        <f t="shared" si="2"/>
        <v>-2109</v>
      </c>
    </row>
    <row r="23" spans="1:5" s="1143" customFormat="1" ht="102.75" customHeight="1" x14ac:dyDescent="0.5">
      <c r="A23" s="1155" t="s">
        <v>1228</v>
      </c>
      <c r="B23" s="1156"/>
      <c r="C23" s="1156"/>
      <c r="D23" s="1156"/>
      <c r="E23" s="1156"/>
    </row>
    <row r="24" spans="1:5" s="1143" customFormat="1" ht="77.25" customHeight="1" x14ac:dyDescent="0.5">
      <c r="A24" s="1162" t="s">
        <v>1229</v>
      </c>
      <c r="B24" s="1156"/>
      <c r="C24" s="1156"/>
      <c r="D24" s="1156"/>
      <c r="E24" s="1156"/>
    </row>
    <row r="25" spans="1:5" s="1143" customFormat="1" ht="77.25" customHeight="1" x14ac:dyDescent="0.5">
      <c r="A25" s="1144" t="s">
        <v>1230</v>
      </c>
      <c r="B25" s="1145">
        <v>721716</v>
      </c>
      <c r="C25" s="1145">
        <v>732252</v>
      </c>
      <c r="D25" s="1145">
        <v>732252</v>
      </c>
      <c r="E25" s="1145">
        <f t="shared" si="2"/>
        <v>0</v>
      </c>
    </row>
    <row r="26" spans="1:5" s="1143" customFormat="1" ht="77.25" customHeight="1" thickBot="1" x14ac:dyDescent="0.55000000000000004">
      <c r="A26" s="1164" t="s">
        <v>1231</v>
      </c>
      <c r="B26" s="1165">
        <v>58604</v>
      </c>
      <c r="C26" s="1165">
        <v>58604</v>
      </c>
      <c r="D26" s="1145">
        <f>58604-734</f>
        <v>57870</v>
      </c>
      <c r="E26" s="1145">
        <f t="shared" si="2"/>
        <v>-734</v>
      </c>
    </row>
    <row r="27" spans="1:5" s="1140" customFormat="1" ht="109.5" customHeight="1" thickTop="1" x14ac:dyDescent="0.5">
      <c r="A27" s="1166" t="s">
        <v>1232</v>
      </c>
      <c r="B27" s="1156"/>
      <c r="C27" s="1156"/>
      <c r="D27" s="1156"/>
      <c r="E27" s="1156">
        <f t="shared" si="2"/>
        <v>0</v>
      </c>
    </row>
    <row r="28" spans="1:5" s="1140" customFormat="1" ht="77.25" customHeight="1" x14ac:dyDescent="0.5">
      <c r="A28" s="1155" t="s">
        <v>1233</v>
      </c>
      <c r="B28" s="1156"/>
      <c r="C28" s="1156"/>
      <c r="D28" s="1156"/>
      <c r="E28" s="1156">
        <f t="shared" si="2"/>
        <v>0</v>
      </c>
    </row>
    <row r="29" spans="1:5" s="1143" customFormat="1" ht="77.25" customHeight="1" x14ac:dyDescent="0.5">
      <c r="A29" s="1162" t="s">
        <v>1234</v>
      </c>
      <c r="B29" s="1156"/>
      <c r="C29" s="1156"/>
      <c r="D29" s="1156"/>
      <c r="E29" s="1156">
        <f t="shared" si="2"/>
        <v>0</v>
      </c>
    </row>
    <row r="30" spans="1:5" s="1140" customFormat="1" ht="77.25" customHeight="1" x14ac:dyDescent="0.5">
      <c r="A30" s="1155" t="s">
        <v>1235</v>
      </c>
      <c r="B30" s="1156"/>
      <c r="C30" s="1156"/>
      <c r="D30" s="1156"/>
      <c r="E30" s="1156">
        <f t="shared" si="2"/>
        <v>0</v>
      </c>
    </row>
    <row r="31" spans="1:5" s="1143" customFormat="1" ht="107.25" customHeight="1" x14ac:dyDescent="0.5">
      <c r="A31" s="1144" t="s">
        <v>1236</v>
      </c>
      <c r="B31" s="1145">
        <v>47609</v>
      </c>
      <c r="C31" s="1145">
        <v>41945</v>
      </c>
      <c r="D31" s="1145">
        <f>45243-490</f>
        <v>44753</v>
      </c>
      <c r="E31" s="1145">
        <f t="shared" si="2"/>
        <v>2808</v>
      </c>
    </row>
    <row r="32" spans="1:5" s="1143" customFormat="1" ht="77.25" customHeight="1" x14ac:dyDescent="0.5">
      <c r="A32" s="1144" t="s">
        <v>1237</v>
      </c>
      <c r="B32" s="1147">
        <v>41447</v>
      </c>
      <c r="C32" s="1147">
        <v>38238</v>
      </c>
      <c r="D32" s="1147">
        <f>45725-490</f>
        <v>45235</v>
      </c>
      <c r="E32" s="1147">
        <f t="shared" si="2"/>
        <v>6997</v>
      </c>
    </row>
    <row r="33" spans="1:5" s="1143" customFormat="1" ht="77.25" customHeight="1" x14ac:dyDescent="0.5">
      <c r="A33" s="1166" t="s">
        <v>1238</v>
      </c>
      <c r="B33" s="1159"/>
      <c r="C33" s="1159"/>
      <c r="D33" s="1159"/>
      <c r="E33" s="1159">
        <f t="shared" si="2"/>
        <v>0</v>
      </c>
    </row>
    <row r="34" spans="1:5" s="1143" customFormat="1" ht="86.25" customHeight="1" x14ac:dyDescent="0.5">
      <c r="A34" s="1144" t="s">
        <v>1239</v>
      </c>
      <c r="B34" s="1145">
        <v>1728</v>
      </c>
      <c r="C34" s="1145">
        <v>1728</v>
      </c>
      <c r="D34" s="1145">
        <f>1728-49</f>
        <v>1679</v>
      </c>
      <c r="E34" s="1145">
        <f t="shared" si="2"/>
        <v>-49</v>
      </c>
    </row>
    <row r="35" spans="1:5" s="1143" customFormat="1" ht="77.25" customHeight="1" x14ac:dyDescent="0.5">
      <c r="A35" s="1144" t="s">
        <v>1240</v>
      </c>
      <c r="B35" s="1147">
        <v>3020</v>
      </c>
      <c r="C35" s="1147">
        <v>3020</v>
      </c>
      <c r="D35" s="1147">
        <f>3020-98</f>
        <v>2922</v>
      </c>
      <c r="E35" s="1147">
        <f t="shared" si="2"/>
        <v>-98</v>
      </c>
    </row>
    <row r="36" spans="1:5" s="1168" customFormat="1" ht="77.25" customHeight="1" x14ac:dyDescent="0.5">
      <c r="A36" s="1161" t="s">
        <v>1241</v>
      </c>
      <c r="B36" s="1167"/>
      <c r="C36" s="1167"/>
      <c r="D36" s="1167"/>
      <c r="E36" s="1167">
        <f t="shared" si="2"/>
        <v>0</v>
      </c>
    </row>
    <row r="37" spans="1:5" s="1143" customFormat="1" ht="77.25" customHeight="1" x14ac:dyDescent="0.5">
      <c r="A37" s="1162" t="s">
        <v>1242</v>
      </c>
      <c r="B37" s="1156"/>
      <c r="C37" s="1156"/>
      <c r="D37" s="1156"/>
      <c r="E37" s="1156">
        <f t="shared" si="2"/>
        <v>0</v>
      </c>
    </row>
    <row r="38" spans="1:5" s="1140" customFormat="1" ht="42" customHeight="1" x14ac:dyDescent="0.5">
      <c r="A38" s="1155" t="s">
        <v>1243</v>
      </c>
      <c r="B38" s="1156"/>
      <c r="C38" s="1156"/>
      <c r="D38" s="1156"/>
      <c r="E38" s="1156">
        <f t="shared" si="2"/>
        <v>0</v>
      </c>
    </row>
    <row r="39" spans="1:5" s="1143" customFormat="1" ht="88.5" customHeight="1" x14ac:dyDescent="0.5">
      <c r="A39" s="1144" t="s">
        <v>1244</v>
      </c>
      <c r="B39" s="1145"/>
      <c r="C39" s="1145">
        <v>0</v>
      </c>
      <c r="D39" s="1145">
        <f t="shared" ref="D39:D43" si="3">SUM(B39:C39)</f>
        <v>0</v>
      </c>
      <c r="E39" s="1145">
        <f t="shared" si="2"/>
        <v>0</v>
      </c>
    </row>
    <row r="40" spans="1:5" s="1143" customFormat="1" ht="77.25" customHeight="1" x14ac:dyDescent="0.5">
      <c r="A40" s="1144" t="s">
        <v>1245</v>
      </c>
      <c r="B40" s="1147"/>
      <c r="C40" s="1147">
        <v>0</v>
      </c>
      <c r="D40" s="1147">
        <f t="shared" si="3"/>
        <v>0</v>
      </c>
      <c r="E40" s="1147">
        <f t="shared" si="2"/>
        <v>0</v>
      </c>
    </row>
    <row r="41" spans="1:5" s="1143" customFormat="1" ht="52.5" customHeight="1" x14ac:dyDescent="0.5">
      <c r="A41" s="1166" t="s">
        <v>1246</v>
      </c>
      <c r="B41" s="1159"/>
      <c r="C41" s="1159"/>
      <c r="D41" s="1159"/>
      <c r="E41" s="1159">
        <f t="shared" si="2"/>
        <v>0</v>
      </c>
    </row>
    <row r="42" spans="1:5" s="1143" customFormat="1" ht="90.75" customHeight="1" x14ac:dyDescent="0.5">
      <c r="A42" s="1144" t="s">
        <v>1247</v>
      </c>
      <c r="B42" s="1145"/>
      <c r="C42" s="1145">
        <v>0</v>
      </c>
      <c r="D42" s="1145">
        <f t="shared" si="3"/>
        <v>0</v>
      </c>
      <c r="E42" s="1145">
        <f t="shared" si="2"/>
        <v>0</v>
      </c>
    </row>
    <row r="43" spans="1:5" s="1143" customFormat="1" ht="77.25" customHeight="1" x14ac:dyDescent="0.5">
      <c r="A43" s="1146" t="s">
        <v>1248</v>
      </c>
      <c r="B43" s="1147"/>
      <c r="C43" s="1147">
        <v>0</v>
      </c>
      <c r="D43" s="1147">
        <f t="shared" si="3"/>
        <v>0</v>
      </c>
      <c r="E43" s="1147">
        <f t="shared" si="2"/>
        <v>0</v>
      </c>
    </row>
    <row r="44" spans="1:5" s="1143" customFormat="1" ht="77.25" customHeight="1" thickBot="1" x14ac:dyDescent="0.55000000000000004">
      <c r="A44" s="1146" t="s">
        <v>1249</v>
      </c>
      <c r="B44" s="1147">
        <v>1434</v>
      </c>
      <c r="C44" s="1147">
        <v>1434</v>
      </c>
      <c r="D44" s="1147">
        <f>2868-98</f>
        <v>2770</v>
      </c>
      <c r="E44" s="1147">
        <f t="shared" si="2"/>
        <v>1336</v>
      </c>
    </row>
    <row r="45" spans="1:5" s="1143" customFormat="1" ht="77.25" customHeight="1" thickTop="1" thickBot="1" x14ac:dyDescent="0.55000000000000004">
      <c r="A45" s="1150" t="s">
        <v>1250</v>
      </c>
      <c r="B45" s="1169">
        <f>SUM(B15:B44)</f>
        <v>2945488</v>
      </c>
      <c r="C45" s="1169">
        <f>SUM(C15:C44)</f>
        <v>2951739</v>
      </c>
      <c r="D45" s="1169">
        <f>SUM(D15:D44)</f>
        <v>2939684</v>
      </c>
      <c r="E45" s="1169">
        <f>SUM(E15:E44)</f>
        <v>-12055</v>
      </c>
    </row>
    <row r="46" spans="1:5" s="1170" customFormat="1" ht="77.25" customHeight="1" thickTop="1" x14ac:dyDescent="0.5">
      <c r="A46" s="1153" t="s">
        <v>1251</v>
      </c>
      <c r="B46" s="1154"/>
      <c r="C46" s="1154"/>
      <c r="D46" s="1154"/>
      <c r="E46" s="1154"/>
    </row>
    <row r="47" spans="1:5" s="1143" customFormat="1" ht="77.25" customHeight="1" x14ac:dyDescent="0.5">
      <c r="A47" s="1171" t="s">
        <v>1252</v>
      </c>
      <c r="B47" s="1145"/>
      <c r="C47" s="1145"/>
      <c r="D47" s="1145"/>
      <c r="E47" s="1145"/>
    </row>
    <row r="48" spans="1:5" s="1143" customFormat="1" ht="77.25" customHeight="1" x14ac:dyDescent="0.5">
      <c r="A48" s="1146" t="s">
        <v>1253</v>
      </c>
      <c r="B48" s="1172">
        <v>101639</v>
      </c>
      <c r="C48" s="1172">
        <v>103632</v>
      </c>
      <c r="D48" s="1172">
        <v>103632</v>
      </c>
      <c r="E48" s="1172">
        <f t="shared" ref="E48:E55" si="4">D48-C48</f>
        <v>0</v>
      </c>
    </row>
    <row r="49" spans="1:5" s="1143" customFormat="1" ht="77.25" customHeight="1" x14ac:dyDescent="0.5">
      <c r="A49" s="1146" t="s">
        <v>1254</v>
      </c>
      <c r="B49" s="1172">
        <v>135912</v>
      </c>
      <c r="C49" s="1172">
        <v>135912</v>
      </c>
      <c r="D49" s="1172">
        <v>135912</v>
      </c>
      <c r="E49" s="1172">
        <f t="shared" si="4"/>
        <v>0</v>
      </c>
    </row>
    <row r="50" spans="1:5" s="1143" customFormat="1" ht="77.25" customHeight="1" x14ac:dyDescent="0.5">
      <c r="A50" s="1173" t="s">
        <v>1255</v>
      </c>
      <c r="B50" s="1172">
        <v>88330</v>
      </c>
      <c r="C50" s="1172">
        <v>88330</v>
      </c>
      <c r="D50" s="1172">
        <v>88330</v>
      </c>
      <c r="E50" s="1172">
        <f t="shared" si="4"/>
        <v>0</v>
      </c>
    </row>
    <row r="51" spans="1:5" s="1143" customFormat="1" ht="77.25" customHeight="1" x14ac:dyDescent="0.5">
      <c r="A51" s="1146" t="s">
        <v>1256</v>
      </c>
      <c r="B51" s="1172">
        <v>80447</v>
      </c>
      <c r="C51" s="1145">
        <v>84690</v>
      </c>
      <c r="D51" s="1145">
        <v>84775</v>
      </c>
      <c r="E51" s="1145">
        <f t="shared" si="4"/>
        <v>85</v>
      </c>
    </row>
    <row r="52" spans="1:5" s="1143" customFormat="1" ht="77.25" customHeight="1" x14ac:dyDescent="0.5">
      <c r="A52" s="1174" t="s">
        <v>1257</v>
      </c>
      <c r="B52" s="1172">
        <v>100</v>
      </c>
      <c r="C52" s="1145">
        <v>75</v>
      </c>
      <c r="D52" s="1145">
        <v>75</v>
      </c>
      <c r="E52" s="1145">
        <f t="shared" si="4"/>
        <v>0</v>
      </c>
    </row>
    <row r="53" spans="1:5" s="1143" customFormat="1" ht="77.25" customHeight="1" x14ac:dyDescent="0.5">
      <c r="A53" s="1146" t="s">
        <v>1258</v>
      </c>
      <c r="B53" s="1172">
        <v>69890</v>
      </c>
      <c r="C53" s="1145">
        <v>67480</v>
      </c>
      <c r="D53" s="1145">
        <v>67480</v>
      </c>
      <c r="E53" s="1145">
        <f t="shared" si="4"/>
        <v>0</v>
      </c>
    </row>
    <row r="54" spans="1:5" s="1170" customFormat="1" ht="77.25" customHeight="1" x14ac:dyDescent="0.5">
      <c r="A54" s="1175" t="s">
        <v>1259</v>
      </c>
      <c r="B54" s="1172">
        <v>50376</v>
      </c>
      <c r="C54" s="1145">
        <v>54574</v>
      </c>
      <c r="D54" s="1145">
        <v>54924</v>
      </c>
      <c r="E54" s="1145">
        <f t="shared" si="4"/>
        <v>350</v>
      </c>
    </row>
    <row r="55" spans="1:5" s="1143" customFormat="1" ht="77.25" customHeight="1" thickBot="1" x14ac:dyDescent="0.55000000000000004">
      <c r="A55" s="1146" t="s">
        <v>1260</v>
      </c>
      <c r="B55" s="1148">
        <v>6803</v>
      </c>
      <c r="C55" s="1147">
        <v>7775</v>
      </c>
      <c r="D55" s="1147">
        <v>7775</v>
      </c>
      <c r="E55" s="1147">
        <f t="shared" si="4"/>
        <v>0</v>
      </c>
    </row>
    <row r="56" spans="1:5" s="1143" customFormat="1" ht="80.25" customHeight="1" thickTop="1" thickBot="1" x14ac:dyDescent="0.55000000000000004">
      <c r="A56" s="1176" t="s">
        <v>1252</v>
      </c>
      <c r="B56" s="1177">
        <f t="shared" ref="B56:E56" si="5">SUM(B48:B55)</f>
        <v>533497</v>
      </c>
      <c r="C56" s="1177">
        <f t="shared" si="5"/>
        <v>542468</v>
      </c>
      <c r="D56" s="1177">
        <f t="shared" si="5"/>
        <v>542903</v>
      </c>
      <c r="E56" s="1177">
        <f t="shared" si="5"/>
        <v>435</v>
      </c>
    </row>
    <row r="57" spans="1:5" s="1143" customFormat="1" ht="77.25" customHeight="1" thickTop="1" x14ac:dyDescent="0.5">
      <c r="A57" s="1155" t="s">
        <v>1261</v>
      </c>
      <c r="B57" s="1156"/>
      <c r="C57" s="1156"/>
      <c r="D57" s="1156"/>
      <c r="E57" s="1156"/>
    </row>
    <row r="58" spans="1:5" s="1143" customFormat="1" ht="77.25" customHeight="1" x14ac:dyDescent="0.5">
      <c r="A58" s="1155" t="s">
        <v>1262</v>
      </c>
      <c r="B58" s="1156"/>
      <c r="C58" s="1156"/>
      <c r="D58" s="1156"/>
      <c r="E58" s="1156"/>
    </row>
    <row r="59" spans="1:5" s="1143" customFormat="1" ht="77.25" customHeight="1" x14ac:dyDescent="0.5">
      <c r="A59" s="1144" t="s">
        <v>1263</v>
      </c>
      <c r="B59" s="1145">
        <v>519842</v>
      </c>
      <c r="C59" s="1145">
        <v>515581</v>
      </c>
      <c r="D59" s="1145">
        <v>513877</v>
      </c>
      <c r="E59" s="1145">
        <f t="shared" ref="E59:E61" si="6">D59-C59</f>
        <v>-1704</v>
      </c>
    </row>
    <row r="60" spans="1:5" s="1143" customFormat="1" ht="77.25" customHeight="1" x14ac:dyDescent="0.5">
      <c r="A60" s="1146" t="s">
        <v>1264</v>
      </c>
      <c r="B60" s="1145">
        <v>493020</v>
      </c>
      <c r="C60" s="1145">
        <v>508064</v>
      </c>
      <c r="D60" s="1145">
        <v>509431</v>
      </c>
      <c r="E60" s="1145">
        <f t="shared" si="6"/>
        <v>1367</v>
      </c>
    </row>
    <row r="61" spans="1:5" s="1143" customFormat="1" ht="58.5" customHeight="1" thickBot="1" x14ac:dyDescent="0.55000000000000004">
      <c r="A61" s="1178" t="s">
        <v>1265</v>
      </c>
      <c r="B61" s="1145">
        <v>220472</v>
      </c>
      <c r="C61" s="1145">
        <v>224614</v>
      </c>
      <c r="D61" s="1145">
        <v>224614</v>
      </c>
      <c r="E61" s="1145">
        <f t="shared" si="6"/>
        <v>0</v>
      </c>
    </row>
    <row r="62" spans="1:5" s="1143" customFormat="1" ht="60.75" customHeight="1" thickTop="1" thickBot="1" x14ac:dyDescent="0.55000000000000004">
      <c r="A62" s="1176" t="s">
        <v>1266</v>
      </c>
      <c r="B62" s="1177">
        <f t="shared" ref="B62:E62" si="7">SUM(B59:B61)</f>
        <v>1233334</v>
      </c>
      <c r="C62" s="1177">
        <f t="shared" si="7"/>
        <v>1248259</v>
      </c>
      <c r="D62" s="1177">
        <f t="shared" si="7"/>
        <v>1247922</v>
      </c>
      <c r="E62" s="1177">
        <f t="shared" si="7"/>
        <v>-337</v>
      </c>
    </row>
    <row r="63" spans="1:5" s="1143" customFormat="1" ht="117.75" customHeight="1" thickTop="1" x14ac:dyDescent="0.5">
      <c r="A63" s="1179" t="s">
        <v>1267</v>
      </c>
      <c r="B63" s="1180"/>
      <c r="C63" s="1180"/>
      <c r="D63" s="1180"/>
      <c r="E63" s="1180"/>
    </row>
    <row r="64" spans="1:5" s="1143" customFormat="1" ht="48.75" customHeight="1" x14ac:dyDescent="0.5">
      <c r="A64" s="1144" t="s">
        <v>1268</v>
      </c>
      <c r="B64" s="1145">
        <v>57991</v>
      </c>
      <c r="C64" s="1145">
        <v>50742</v>
      </c>
      <c r="D64" s="1145">
        <v>50742</v>
      </c>
      <c r="E64" s="1145">
        <f t="shared" ref="E64:E65" si="8">D64-C64</f>
        <v>0</v>
      </c>
    </row>
    <row r="65" spans="1:5" s="1143" customFormat="1" ht="77.25" customHeight="1" thickBot="1" x14ac:dyDescent="0.55000000000000004">
      <c r="A65" s="1146" t="s">
        <v>1269</v>
      </c>
      <c r="B65" s="1145">
        <v>17078</v>
      </c>
      <c r="C65" s="1145">
        <v>17927</v>
      </c>
      <c r="D65" s="1145">
        <v>15220</v>
      </c>
      <c r="E65" s="1145">
        <f t="shared" si="8"/>
        <v>-2707</v>
      </c>
    </row>
    <row r="66" spans="1:5" s="1143" customFormat="1" ht="136.5" customHeight="1" thickTop="1" thickBot="1" x14ac:dyDescent="0.55000000000000004">
      <c r="A66" s="1181" t="s">
        <v>1270</v>
      </c>
      <c r="B66" s="1177">
        <f t="shared" ref="B66:E66" si="9">SUM(B64:B65)</f>
        <v>75069</v>
      </c>
      <c r="C66" s="1177">
        <f t="shared" si="9"/>
        <v>68669</v>
      </c>
      <c r="D66" s="1177">
        <f t="shared" si="9"/>
        <v>65962</v>
      </c>
      <c r="E66" s="1177">
        <f t="shared" si="9"/>
        <v>-2707</v>
      </c>
    </row>
    <row r="67" spans="1:5" s="1143" customFormat="1" ht="77.25" customHeight="1" thickTop="1" thickBot="1" x14ac:dyDescent="0.55000000000000004">
      <c r="A67" s="1150" t="s">
        <v>1271</v>
      </c>
      <c r="B67" s="1169">
        <f t="shared" ref="B67:E67" si="10">B56+B62+B66</f>
        <v>1841900</v>
      </c>
      <c r="C67" s="1169">
        <f t="shared" si="10"/>
        <v>1859396</v>
      </c>
      <c r="D67" s="1169">
        <f t="shared" si="10"/>
        <v>1856787</v>
      </c>
      <c r="E67" s="1169">
        <f t="shared" si="10"/>
        <v>-2609</v>
      </c>
    </row>
    <row r="68" spans="1:5" s="1143" customFormat="1" ht="77.25" customHeight="1" thickTop="1" x14ac:dyDescent="0.5">
      <c r="A68" s="1182" t="s">
        <v>1272</v>
      </c>
      <c r="B68" s="1156"/>
      <c r="C68" s="1156"/>
      <c r="D68" s="1156"/>
      <c r="E68" s="1156"/>
    </row>
    <row r="69" spans="1:5" s="1170" customFormat="1" ht="45" customHeight="1" x14ac:dyDescent="0.5">
      <c r="A69" s="1183" t="s">
        <v>1273</v>
      </c>
      <c r="B69" s="1154"/>
      <c r="C69" s="1154"/>
      <c r="D69" s="1154"/>
      <c r="E69" s="1154"/>
    </row>
    <row r="70" spans="1:5" s="1143" customFormat="1" ht="42" customHeight="1" x14ac:dyDescent="0.5">
      <c r="A70" s="1184" t="s">
        <v>1274</v>
      </c>
      <c r="B70" s="1145">
        <v>313998</v>
      </c>
      <c r="C70" s="1145">
        <v>345348</v>
      </c>
      <c r="D70" s="1145">
        <v>338977</v>
      </c>
      <c r="E70" s="1145">
        <f t="shared" ref="E70:E72" si="11">D70-C70</f>
        <v>-6371</v>
      </c>
    </row>
    <row r="71" spans="1:5" s="1143" customFormat="1" ht="45" customHeight="1" x14ac:dyDescent="0.5">
      <c r="A71" s="1185" t="s">
        <v>1275</v>
      </c>
      <c r="B71" s="1145">
        <v>415024</v>
      </c>
      <c r="C71" s="1145">
        <v>473371</v>
      </c>
      <c r="D71" s="1145">
        <v>473371</v>
      </c>
      <c r="E71" s="1145">
        <f t="shared" si="11"/>
        <v>0</v>
      </c>
    </row>
    <row r="72" spans="1:5" s="1143" customFormat="1" ht="38.25" customHeight="1" thickBot="1" x14ac:dyDescent="0.55000000000000004">
      <c r="A72" s="1186" t="s">
        <v>1276</v>
      </c>
      <c r="B72" s="1145">
        <v>918</v>
      </c>
      <c r="C72" s="1145">
        <v>731</v>
      </c>
      <c r="D72" s="1145">
        <v>718</v>
      </c>
      <c r="E72" s="1145">
        <f t="shared" si="11"/>
        <v>-13</v>
      </c>
    </row>
    <row r="73" spans="1:5" s="1143" customFormat="1" ht="78.75" customHeight="1" thickTop="1" thickBot="1" x14ac:dyDescent="0.55000000000000004">
      <c r="A73" s="1187" t="s">
        <v>1277</v>
      </c>
      <c r="B73" s="1169">
        <f t="shared" ref="B73:E73" si="12">SUM(B70:B72)</f>
        <v>729940</v>
      </c>
      <c r="C73" s="1169">
        <f t="shared" si="12"/>
        <v>819450</v>
      </c>
      <c r="D73" s="1169">
        <f t="shared" si="12"/>
        <v>813066</v>
      </c>
      <c r="E73" s="1169">
        <f t="shared" si="12"/>
        <v>-6384</v>
      </c>
    </row>
    <row r="74" spans="1:5" s="1143" customFormat="1" ht="66.75" customHeight="1" thickTop="1" x14ac:dyDescent="0.5">
      <c r="A74" s="1188" t="s">
        <v>1278</v>
      </c>
      <c r="B74" s="1180"/>
      <c r="C74" s="1180"/>
      <c r="D74" s="1180"/>
      <c r="E74" s="1180"/>
    </row>
    <row r="75" spans="1:5" s="1143" customFormat="1" ht="64.5" customHeight="1" x14ac:dyDescent="0.5">
      <c r="A75" s="1189" t="s">
        <v>1279</v>
      </c>
      <c r="B75" s="1145">
        <v>71937</v>
      </c>
      <c r="C75" s="1145">
        <v>71937</v>
      </c>
      <c r="D75" s="1145">
        <v>71937</v>
      </c>
      <c r="E75" s="1145">
        <f t="shared" ref="E75:E76" si="13">D75-C75</f>
        <v>0</v>
      </c>
    </row>
    <row r="76" spans="1:5" s="1143" customFormat="1" ht="66" customHeight="1" thickBot="1" x14ac:dyDescent="0.55000000000000004">
      <c r="A76" s="1190" t="s">
        <v>1280</v>
      </c>
      <c r="B76" s="1145">
        <v>142713</v>
      </c>
      <c r="C76" s="1145">
        <v>142714</v>
      </c>
      <c r="D76" s="1145">
        <v>142714</v>
      </c>
      <c r="E76" s="1145">
        <f t="shared" si="13"/>
        <v>0</v>
      </c>
    </row>
    <row r="77" spans="1:5" s="1143" customFormat="1" ht="76.5" customHeight="1" thickTop="1" thickBot="1" x14ac:dyDescent="0.55000000000000004">
      <c r="A77" s="1187" t="s">
        <v>1281</v>
      </c>
      <c r="B77" s="1169">
        <f t="shared" ref="B77:E77" si="14">SUM(B75:B76)</f>
        <v>214650</v>
      </c>
      <c r="C77" s="1169">
        <f t="shared" si="14"/>
        <v>214651</v>
      </c>
      <c r="D77" s="1169">
        <f t="shared" si="14"/>
        <v>214651</v>
      </c>
      <c r="E77" s="1169">
        <f t="shared" si="14"/>
        <v>0</v>
      </c>
    </row>
    <row r="78" spans="1:5" s="1143" customFormat="1" ht="72" customHeight="1" thickTop="1" thickBot="1" x14ac:dyDescent="0.55000000000000004">
      <c r="A78" s="1191" t="s">
        <v>1282</v>
      </c>
      <c r="B78" s="1192">
        <f>B14+B45+B67+B73+B77</f>
        <v>7470104</v>
      </c>
      <c r="C78" s="1192">
        <f>C14+C45+C67+C73+C77</f>
        <v>7583362</v>
      </c>
      <c r="D78" s="1192">
        <f>D14+D45+D67+D73+D77</f>
        <v>7562272</v>
      </c>
      <c r="E78" s="1192">
        <f>E14+E45+E67+E73+E77</f>
        <v>-21090</v>
      </c>
    </row>
    <row r="79" spans="1:5" s="1140" customFormat="1" ht="108.75" customHeight="1" x14ac:dyDescent="0.5">
      <c r="A79" s="1193" t="s">
        <v>1283</v>
      </c>
      <c r="B79" s="1194"/>
      <c r="C79" s="1194"/>
      <c r="D79" s="1194"/>
      <c r="E79" s="1194"/>
    </row>
    <row r="80" spans="1:5" s="1140" customFormat="1" ht="67.5" customHeight="1" x14ac:dyDescent="0.5">
      <c r="A80" s="1195" t="s">
        <v>1284</v>
      </c>
      <c r="B80" s="1196"/>
      <c r="C80" s="1196">
        <v>240166</v>
      </c>
      <c r="D80" s="1196">
        <f t="shared" ref="D80:D81" si="15">SUM(B80:C80)</f>
        <v>240166</v>
      </c>
      <c r="E80" s="1196">
        <f t="shared" ref="E80:E91" si="16">D80-C80</f>
        <v>0</v>
      </c>
    </row>
    <row r="81" spans="1:5" s="1143" customFormat="1" ht="77.25" customHeight="1" x14ac:dyDescent="0.5">
      <c r="A81" s="1197" t="s">
        <v>1285</v>
      </c>
      <c r="B81" s="1198"/>
      <c r="C81" s="1198">
        <v>0</v>
      </c>
      <c r="D81" s="1198">
        <f t="shared" si="15"/>
        <v>0</v>
      </c>
      <c r="E81" s="1198">
        <f t="shared" si="16"/>
        <v>0</v>
      </c>
    </row>
    <row r="82" spans="1:5" s="1143" customFormat="1" ht="47.25" customHeight="1" x14ac:dyDescent="0.45">
      <c r="A82" s="1199" t="s">
        <v>1286</v>
      </c>
      <c r="B82" s="1200">
        <f>SUM(B80:B81)</f>
        <v>0</v>
      </c>
      <c r="C82" s="1200">
        <f>SUM(C80:C81)</f>
        <v>240166</v>
      </c>
      <c r="D82" s="1200">
        <f>SUM(D80:D81)</f>
        <v>240166</v>
      </c>
      <c r="E82" s="1200">
        <f>SUM(E80:E81)</f>
        <v>0</v>
      </c>
    </row>
    <row r="83" spans="1:5" s="1143" customFormat="1" ht="60.75" customHeight="1" x14ac:dyDescent="0.5">
      <c r="A83" s="1197" t="s">
        <v>1287</v>
      </c>
      <c r="B83" s="1201">
        <v>230670</v>
      </c>
      <c r="C83" s="1201">
        <v>230670</v>
      </c>
      <c r="D83" s="1201">
        <v>230670</v>
      </c>
      <c r="E83" s="1201">
        <f t="shared" si="16"/>
        <v>0</v>
      </c>
    </row>
    <row r="84" spans="1:5" s="1143" customFormat="1" ht="48.75" customHeight="1" x14ac:dyDescent="0.5">
      <c r="A84" s="1197" t="s">
        <v>1288</v>
      </c>
      <c r="B84" s="1202">
        <v>188000</v>
      </c>
      <c r="C84" s="1202">
        <v>188000</v>
      </c>
      <c r="D84" s="1202">
        <v>188000</v>
      </c>
      <c r="E84" s="1202">
        <f t="shared" si="16"/>
        <v>0</v>
      </c>
    </row>
    <row r="85" spans="1:5" s="1143" customFormat="1" ht="48.75" customHeight="1" x14ac:dyDescent="0.5">
      <c r="A85" s="1203" t="s">
        <v>1289</v>
      </c>
      <c r="C85" s="1202">
        <v>5712</v>
      </c>
      <c r="D85" s="1202">
        <v>5712</v>
      </c>
      <c r="E85" s="1202">
        <f t="shared" si="16"/>
        <v>0</v>
      </c>
    </row>
    <row r="86" spans="1:5" s="1170" customFormat="1" ht="52.5" customHeight="1" x14ac:dyDescent="0.5">
      <c r="A86" s="1204" t="s">
        <v>1290</v>
      </c>
      <c r="B86" s="1202">
        <v>318266</v>
      </c>
      <c r="C86" s="1202">
        <v>318266</v>
      </c>
      <c r="D86" s="1202">
        <v>318266</v>
      </c>
      <c r="E86" s="1202">
        <f t="shared" si="16"/>
        <v>0</v>
      </c>
    </row>
    <row r="87" spans="1:5" s="1170" customFormat="1" ht="91.5" x14ac:dyDescent="0.5">
      <c r="A87" s="1863" t="s">
        <v>1291</v>
      </c>
      <c r="B87" s="1202">
        <v>116318</v>
      </c>
      <c r="C87" s="1205">
        <v>116318</v>
      </c>
      <c r="D87" s="1205">
        <v>116318</v>
      </c>
      <c r="E87" s="1205">
        <f t="shared" si="16"/>
        <v>0</v>
      </c>
    </row>
    <row r="88" spans="1:5" s="1170" customFormat="1" ht="145.5" customHeight="1" x14ac:dyDescent="0.5">
      <c r="A88" s="1863" t="s">
        <v>1292</v>
      </c>
      <c r="B88" s="1205">
        <v>37389</v>
      </c>
      <c r="C88" s="1205">
        <v>41020</v>
      </c>
      <c r="D88" s="1205">
        <v>41020</v>
      </c>
      <c r="E88" s="1205">
        <f t="shared" si="16"/>
        <v>0</v>
      </c>
    </row>
    <row r="89" spans="1:5" s="1208" customFormat="1" ht="47.25" customHeight="1" x14ac:dyDescent="0.45">
      <c r="A89" s="1206" t="s">
        <v>1293</v>
      </c>
      <c r="B89" s="1207">
        <f>SUM(B83:B88)</f>
        <v>890643</v>
      </c>
      <c r="C89" s="1207">
        <f t="shared" ref="C89:E89" si="17">SUM(C83:C88)</f>
        <v>899986</v>
      </c>
      <c r="D89" s="1207">
        <f t="shared" si="17"/>
        <v>899986</v>
      </c>
      <c r="E89" s="1207">
        <f t="shared" si="17"/>
        <v>0</v>
      </c>
    </row>
    <row r="90" spans="1:5" s="1170" customFormat="1" ht="118.5" customHeight="1" x14ac:dyDescent="0.5">
      <c r="A90" s="1863" t="s">
        <v>393</v>
      </c>
      <c r="B90" s="1209"/>
      <c r="C90" s="1209">
        <v>14555</v>
      </c>
      <c r="D90" s="1209">
        <v>14555</v>
      </c>
      <c r="E90" s="1209">
        <f t="shared" si="16"/>
        <v>0</v>
      </c>
    </row>
    <row r="91" spans="1:5" s="1170" customFormat="1" ht="85.5" customHeight="1" x14ac:dyDescent="0.5">
      <c r="A91" s="1863" t="s">
        <v>1294</v>
      </c>
      <c r="B91" s="1209"/>
      <c r="C91" s="1209">
        <v>63915</v>
      </c>
      <c r="D91" s="1209">
        <v>63915</v>
      </c>
      <c r="E91" s="1209">
        <f t="shared" si="16"/>
        <v>0</v>
      </c>
    </row>
    <row r="92" spans="1:5" s="1170" customFormat="1" ht="60.75" customHeight="1" x14ac:dyDescent="0.45">
      <c r="A92" s="1199" t="s">
        <v>1295</v>
      </c>
      <c r="B92" s="1210">
        <f>SUM(B90:B91)</f>
        <v>0</v>
      </c>
      <c r="C92" s="1211">
        <f t="shared" ref="C92:E92" si="18">SUM(C90:C91)</f>
        <v>78470</v>
      </c>
      <c r="D92" s="1207">
        <f t="shared" si="18"/>
        <v>78470</v>
      </c>
      <c r="E92" s="1207">
        <f t="shared" si="18"/>
        <v>0</v>
      </c>
    </row>
    <row r="93" spans="1:5" s="1152" customFormat="1" ht="64.5" customHeight="1" x14ac:dyDescent="0.5">
      <c r="A93" s="1212" t="s">
        <v>1296</v>
      </c>
      <c r="B93" s="1213">
        <f>B82+B89+B92</f>
        <v>890643</v>
      </c>
      <c r="C93" s="1213">
        <f t="shared" ref="C93:E93" si="19">C82+C89+C92</f>
        <v>1218622</v>
      </c>
      <c r="D93" s="1214">
        <f>D82+D89+D92</f>
        <v>1218622</v>
      </c>
      <c r="E93" s="1214">
        <f t="shared" si="19"/>
        <v>0</v>
      </c>
    </row>
    <row r="94" spans="1:5" s="1152" customFormat="1" ht="63.75" customHeight="1" thickBot="1" x14ac:dyDescent="0.55000000000000004">
      <c r="A94" s="1215" t="s">
        <v>1297</v>
      </c>
      <c r="B94" s="1216">
        <f t="shared" ref="B94:E94" si="20">B78+B93</f>
        <v>8360747</v>
      </c>
      <c r="C94" s="1216">
        <f t="shared" si="20"/>
        <v>8801984</v>
      </c>
      <c r="D94" s="1217">
        <f t="shared" si="20"/>
        <v>8780894</v>
      </c>
      <c r="E94" s="1217">
        <f t="shared" si="20"/>
        <v>-21090</v>
      </c>
    </row>
    <row r="95" spans="1:5" s="1152" customFormat="1" ht="30.75" customHeight="1" thickTop="1" x14ac:dyDescent="0.5">
      <c r="A95" s="1218" t="s">
        <v>1298</v>
      </c>
      <c r="B95" s="1219"/>
      <c r="C95" s="1219"/>
      <c r="D95" s="1219"/>
      <c r="E95" s="1219"/>
    </row>
    <row r="96" spans="1:5" s="1170" customFormat="1" ht="28.5" customHeight="1" x14ac:dyDescent="0.5">
      <c r="A96" s="1220" t="s">
        <v>1299</v>
      </c>
      <c r="B96" s="1154"/>
      <c r="C96" s="1154"/>
      <c r="D96" s="1154"/>
      <c r="E96" s="1154"/>
    </row>
    <row r="97" spans="1:5" s="1170" customFormat="1" ht="29.25" customHeight="1" x14ac:dyDescent="0.5">
      <c r="A97" s="1221" t="s">
        <v>1300</v>
      </c>
      <c r="B97" s="1222">
        <v>53000</v>
      </c>
      <c r="C97" s="1222">
        <v>53000</v>
      </c>
      <c r="D97" s="1222">
        <v>53000</v>
      </c>
      <c r="E97" s="1222">
        <f t="shared" ref="E97:E98" si="21">D97-C97</f>
        <v>0</v>
      </c>
    </row>
    <row r="98" spans="1:5" s="1170" customFormat="1" ht="38.25" customHeight="1" thickBot="1" x14ac:dyDescent="0.55000000000000004">
      <c r="A98" s="1223" t="s">
        <v>1301</v>
      </c>
      <c r="B98" s="1224">
        <v>302075</v>
      </c>
      <c r="C98" s="1224">
        <v>302075</v>
      </c>
      <c r="D98" s="1224">
        <v>302075</v>
      </c>
      <c r="E98" s="1224">
        <f t="shared" si="21"/>
        <v>0</v>
      </c>
    </row>
    <row r="99" spans="1:5" s="1152" customFormat="1" ht="39.75" customHeight="1" thickTop="1" thickBot="1" x14ac:dyDescent="0.55000000000000004">
      <c r="A99" s="1864" t="s">
        <v>1302</v>
      </c>
      <c r="B99" s="1865">
        <f t="shared" ref="B99:E99" si="22">B78+B93+B97+B98</f>
        <v>8715822</v>
      </c>
      <c r="C99" s="1865">
        <f t="shared" si="22"/>
        <v>9157059</v>
      </c>
      <c r="D99" s="1865">
        <f t="shared" si="22"/>
        <v>9135969</v>
      </c>
      <c r="E99" s="1865">
        <f t="shared" si="22"/>
        <v>-21090</v>
      </c>
    </row>
    <row r="100" spans="1:5" s="1135" customFormat="1" ht="72" customHeight="1" x14ac:dyDescent="0.3">
      <c r="A100" s="1136"/>
      <c r="B100" s="1137"/>
      <c r="C100" s="1137"/>
      <c r="D100" s="1137"/>
      <c r="E100" s="1137"/>
    </row>
    <row r="101" spans="1:5" s="1135" customFormat="1" ht="72" customHeight="1" x14ac:dyDescent="0.3">
      <c r="A101" s="1136"/>
      <c r="B101" s="1137"/>
      <c r="C101" s="1225"/>
      <c r="D101" s="1137"/>
      <c r="E101" s="1137"/>
    </row>
  </sheetData>
  <mergeCells count="1">
    <mergeCell ref="A2:D2"/>
  </mergeCells>
  <printOptions horizontalCentered="1" verticalCentered="1"/>
  <pageMargins left="0" right="0" top="0" bottom="0" header="0.31496062992125984" footer="0.31496062992125984"/>
  <pageSetup paperSize="9" scale="30" orientation="portrait" r:id="rId1"/>
  <headerFooter>
    <oddHeader xml:space="preserve">&amp;R&amp;"-,Félkövér"&amp;24  &amp;48 &amp;28 &amp;22 &amp;20 5. melléklet a .../2025.(........) önkormányzati rendelethez&amp;"Calibri,Félkövér"
</oddHeader>
  </headerFooter>
  <rowBreaks count="2" manualBreakCount="2">
    <brk id="35" max="4" man="1"/>
    <brk id="67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02D2-058F-4BFB-9224-AC3944165C15}">
  <dimension ref="A1:BI54"/>
  <sheetViews>
    <sheetView zoomScale="50" zoomScaleNormal="50" zoomScaleSheetLayoutView="50" workbookViewId="0">
      <pane xSplit="1" ySplit="8" topLeftCell="B9" activePane="bottomRight" state="frozen"/>
      <selection activeCell="I30" sqref="I30"/>
      <selection pane="topRight" activeCell="I30" sqref="I30"/>
      <selection pane="bottomLeft" activeCell="I30" sqref="I30"/>
      <selection pane="bottomRight" activeCell="I30" sqref="I30"/>
    </sheetView>
  </sheetViews>
  <sheetFormatPr defaultRowHeight="26.45" customHeight="1" x14ac:dyDescent="0.3"/>
  <cols>
    <col min="1" max="1" width="176.6640625" style="978" customWidth="1"/>
    <col min="2" max="13" width="55" style="979" customWidth="1"/>
    <col min="14" max="14" width="176.6640625" style="978" customWidth="1"/>
    <col min="15" max="26" width="53" style="979" customWidth="1"/>
    <col min="27" max="27" width="176.5" style="980" customWidth="1"/>
    <col min="28" max="31" width="53" style="978" customWidth="1"/>
    <col min="32" max="35" width="53" style="981" customWidth="1"/>
    <col min="36" max="39" width="53" style="978" customWidth="1"/>
    <col min="40" max="40" width="176.5" style="980" customWidth="1"/>
    <col min="41" max="44" width="63" style="978" customWidth="1"/>
    <col min="45" max="48" width="63" style="981" customWidth="1"/>
    <col min="49" max="253" width="9.33203125" style="956"/>
    <col min="254" max="254" width="176.6640625" style="956" customWidth="1"/>
    <col min="255" max="266" width="55" style="956" customWidth="1"/>
    <col min="267" max="267" width="176.6640625" style="956" customWidth="1"/>
    <col min="268" max="279" width="53" style="956" customWidth="1"/>
    <col min="280" max="280" width="176.5" style="956" customWidth="1"/>
    <col min="281" max="292" width="53" style="956" customWidth="1"/>
    <col min="293" max="293" width="176.5" style="956" customWidth="1"/>
    <col min="294" max="301" width="63" style="956" customWidth="1"/>
    <col min="302" max="303" width="45.1640625" style="956" customWidth="1"/>
    <col min="304" max="304" width="41.1640625" style="956" customWidth="1"/>
    <col min="305" max="509" width="9.33203125" style="956"/>
    <col min="510" max="510" width="176.6640625" style="956" customWidth="1"/>
    <col min="511" max="522" width="55" style="956" customWidth="1"/>
    <col min="523" max="523" width="176.6640625" style="956" customWidth="1"/>
    <col min="524" max="535" width="53" style="956" customWidth="1"/>
    <col min="536" max="536" width="176.5" style="956" customWidth="1"/>
    <col min="537" max="548" width="53" style="956" customWidth="1"/>
    <col min="549" max="549" width="176.5" style="956" customWidth="1"/>
    <col min="550" max="557" width="63" style="956" customWidth="1"/>
    <col min="558" max="559" width="45.1640625" style="956" customWidth="1"/>
    <col min="560" max="560" width="41.1640625" style="956" customWidth="1"/>
    <col min="561" max="765" width="9.33203125" style="956"/>
    <col min="766" max="766" width="176.6640625" style="956" customWidth="1"/>
    <col min="767" max="778" width="55" style="956" customWidth="1"/>
    <col min="779" max="779" width="176.6640625" style="956" customWidth="1"/>
    <col min="780" max="791" width="53" style="956" customWidth="1"/>
    <col min="792" max="792" width="176.5" style="956" customWidth="1"/>
    <col min="793" max="804" width="53" style="956" customWidth="1"/>
    <col min="805" max="805" width="176.5" style="956" customWidth="1"/>
    <col min="806" max="813" width="63" style="956" customWidth="1"/>
    <col min="814" max="815" width="45.1640625" style="956" customWidth="1"/>
    <col min="816" max="816" width="41.1640625" style="956" customWidth="1"/>
    <col min="817" max="1021" width="9.33203125" style="956"/>
    <col min="1022" max="1022" width="176.6640625" style="956" customWidth="1"/>
    <col min="1023" max="1034" width="55" style="956" customWidth="1"/>
    <col min="1035" max="1035" width="176.6640625" style="956" customWidth="1"/>
    <col min="1036" max="1047" width="53" style="956" customWidth="1"/>
    <col min="1048" max="1048" width="176.5" style="956" customWidth="1"/>
    <col min="1049" max="1060" width="53" style="956" customWidth="1"/>
    <col min="1061" max="1061" width="176.5" style="956" customWidth="1"/>
    <col min="1062" max="1069" width="63" style="956" customWidth="1"/>
    <col min="1070" max="1071" width="45.1640625" style="956" customWidth="1"/>
    <col min="1072" max="1072" width="41.1640625" style="956" customWidth="1"/>
    <col min="1073" max="1277" width="9.33203125" style="956"/>
    <col min="1278" max="1278" width="176.6640625" style="956" customWidth="1"/>
    <col min="1279" max="1290" width="55" style="956" customWidth="1"/>
    <col min="1291" max="1291" width="176.6640625" style="956" customWidth="1"/>
    <col min="1292" max="1303" width="53" style="956" customWidth="1"/>
    <col min="1304" max="1304" width="176.5" style="956" customWidth="1"/>
    <col min="1305" max="1316" width="53" style="956" customWidth="1"/>
    <col min="1317" max="1317" width="176.5" style="956" customWidth="1"/>
    <col min="1318" max="1325" width="63" style="956" customWidth="1"/>
    <col min="1326" max="1327" width="45.1640625" style="956" customWidth="1"/>
    <col min="1328" max="1328" width="41.1640625" style="956" customWidth="1"/>
    <col min="1329" max="1533" width="9.33203125" style="956"/>
    <col min="1534" max="1534" width="176.6640625" style="956" customWidth="1"/>
    <col min="1535" max="1546" width="55" style="956" customWidth="1"/>
    <col min="1547" max="1547" width="176.6640625" style="956" customWidth="1"/>
    <col min="1548" max="1559" width="53" style="956" customWidth="1"/>
    <col min="1560" max="1560" width="176.5" style="956" customWidth="1"/>
    <col min="1561" max="1572" width="53" style="956" customWidth="1"/>
    <col min="1573" max="1573" width="176.5" style="956" customWidth="1"/>
    <col min="1574" max="1581" width="63" style="956" customWidth="1"/>
    <col min="1582" max="1583" width="45.1640625" style="956" customWidth="1"/>
    <col min="1584" max="1584" width="41.1640625" style="956" customWidth="1"/>
    <col min="1585" max="1789" width="9.33203125" style="956"/>
    <col min="1790" max="1790" width="176.6640625" style="956" customWidth="1"/>
    <col min="1791" max="1802" width="55" style="956" customWidth="1"/>
    <col min="1803" max="1803" width="176.6640625" style="956" customWidth="1"/>
    <col min="1804" max="1815" width="53" style="956" customWidth="1"/>
    <col min="1816" max="1816" width="176.5" style="956" customWidth="1"/>
    <col min="1817" max="1828" width="53" style="956" customWidth="1"/>
    <col min="1829" max="1829" width="176.5" style="956" customWidth="1"/>
    <col min="1830" max="1837" width="63" style="956" customWidth="1"/>
    <col min="1838" max="1839" width="45.1640625" style="956" customWidth="1"/>
    <col min="1840" max="1840" width="41.1640625" style="956" customWidth="1"/>
    <col min="1841" max="2045" width="9.33203125" style="956"/>
    <col min="2046" max="2046" width="176.6640625" style="956" customWidth="1"/>
    <col min="2047" max="2058" width="55" style="956" customWidth="1"/>
    <col min="2059" max="2059" width="176.6640625" style="956" customWidth="1"/>
    <col min="2060" max="2071" width="53" style="956" customWidth="1"/>
    <col min="2072" max="2072" width="176.5" style="956" customWidth="1"/>
    <col min="2073" max="2084" width="53" style="956" customWidth="1"/>
    <col min="2085" max="2085" width="176.5" style="956" customWidth="1"/>
    <col min="2086" max="2093" width="63" style="956" customWidth="1"/>
    <col min="2094" max="2095" width="45.1640625" style="956" customWidth="1"/>
    <col min="2096" max="2096" width="41.1640625" style="956" customWidth="1"/>
    <col min="2097" max="2301" width="9.33203125" style="956"/>
    <col min="2302" max="2302" width="176.6640625" style="956" customWidth="1"/>
    <col min="2303" max="2314" width="55" style="956" customWidth="1"/>
    <col min="2315" max="2315" width="176.6640625" style="956" customWidth="1"/>
    <col min="2316" max="2327" width="53" style="956" customWidth="1"/>
    <col min="2328" max="2328" width="176.5" style="956" customWidth="1"/>
    <col min="2329" max="2340" width="53" style="956" customWidth="1"/>
    <col min="2341" max="2341" width="176.5" style="956" customWidth="1"/>
    <col min="2342" max="2349" width="63" style="956" customWidth="1"/>
    <col min="2350" max="2351" width="45.1640625" style="956" customWidth="1"/>
    <col min="2352" max="2352" width="41.1640625" style="956" customWidth="1"/>
    <col min="2353" max="2557" width="9.33203125" style="956"/>
    <col min="2558" max="2558" width="176.6640625" style="956" customWidth="1"/>
    <col min="2559" max="2570" width="55" style="956" customWidth="1"/>
    <col min="2571" max="2571" width="176.6640625" style="956" customWidth="1"/>
    <col min="2572" max="2583" width="53" style="956" customWidth="1"/>
    <col min="2584" max="2584" width="176.5" style="956" customWidth="1"/>
    <col min="2585" max="2596" width="53" style="956" customWidth="1"/>
    <col min="2597" max="2597" width="176.5" style="956" customWidth="1"/>
    <col min="2598" max="2605" width="63" style="956" customWidth="1"/>
    <col min="2606" max="2607" width="45.1640625" style="956" customWidth="1"/>
    <col min="2608" max="2608" width="41.1640625" style="956" customWidth="1"/>
    <col min="2609" max="2813" width="9.33203125" style="956"/>
    <col min="2814" max="2814" width="176.6640625" style="956" customWidth="1"/>
    <col min="2815" max="2826" width="55" style="956" customWidth="1"/>
    <col min="2827" max="2827" width="176.6640625" style="956" customWidth="1"/>
    <col min="2828" max="2839" width="53" style="956" customWidth="1"/>
    <col min="2840" max="2840" width="176.5" style="956" customWidth="1"/>
    <col min="2841" max="2852" width="53" style="956" customWidth="1"/>
    <col min="2853" max="2853" width="176.5" style="956" customWidth="1"/>
    <col min="2854" max="2861" width="63" style="956" customWidth="1"/>
    <col min="2862" max="2863" width="45.1640625" style="956" customWidth="1"/>
    <col min="2864" max="2864" width="41.1640625" style="956" customWidth="1"/>
    <col min="2865" max="3069" width="9.33203125" style="956"/>
    <col min="3070" max="3070" width="176.6640625" style="956" customWidth="1"/>
    <col min="3071" max="3082" width="55" style="956" customWidth="1"/>
    <col min="3083" max="3083" width="176.6640625" style="956" customWidth="1"/>
    <col min="3084" max="3095" width="53" style="956" customWidth="1"/>
    <col min="3096" max="3096" width="176.5" style="956" customWidth="1"/>
    <col min="3097" max="3108" width="53" style="956" customWidth="1"/>
    <col min="3109" max="3109" width="176.5" style="956" customWidth="1"/>
    <col min="3110" max="3117" width="63" style="956" customWidth="1"/>
    <col min="3118" max="3119" width="45.1640625" style="956" customWidth="1"/>
    <col min="3120" max="3120" width="41.1640625" style="956" customWidth="1"/>
    <col min="3121" max="3325" width="9.33203125" style="956"/>
    <col min="3326" max="3326" width="176.6640625" style="956" customWidth="1"/>
    <col min="3327" max="3338" width="55" style="956" customWidth="1"/>
    <col min="3339" max="3339" width="176.6640625" style="956" customWidth="1"/>
    <col min="3340" max="3351" width="53" style="956" customWidth="1"/>
    <col min="3352" max="3352" width="176.5" style="956" customWidth="1"/>
    <col min="3353" max="3364" width="53" style="956" customWidth="1"/>
    <col min="3365" max="3365" width="176.5" style="956" customWidth="1"/>
    <col min="3366" max="3373" width="63" style="956" customWidth="1"/>
    <col min="3374" max="3375" width="45.1640625" style="956" customWidth="1"/>
    <col min="3376" max="3376" width="41.1640625" style="956" customWidth="1"/>
    <col min="3377" max="3581" width="9.33203125" style="956"/>
    <col min="3582" max="3582" width="176.6640625" style="956" customWidth="1"/>
    <col min="3583" max="3594" width="55" style="956" customWidth="1"/>
    <col min="3595" max="3595" width="176.6640625" style="956" customWidth="1"/>
    <col min="3596" max="3607" width="53" style="956" customWidth="1"/>
    <col min="3608" max="3608" width="176.5" style="956" customWidth="1"/>
    <col min="3609" max="3620" width="53" style="956" customWidth="1"/>
    <col min="3621" max="3621" width="176.5" style="956" customWidth="1"/>
    <col min="3622" max="3629" width="63" style="956" customWidth="1"/>
    <col min="3630" max="3631" width="45.1640625" style="956" customWidth="1"/>
    <col min="3632" max="3632" width="41.1640625" style="956" customWidth="1"/>
    <col min="3633" max="3837" width="9.33203125" style="956"/>
    <col min="3838" max="3838" width="176.6640625" style="956" customWidth="1"/>
    <col min="3839" max="3850" width="55" style="956" customWidth="1"/>
    <col min="3851" max="3851" width="176.6640625" style="956" customWidth="1"/>
    <col min="3852" max="3863" width="53" style="956" customWidth="1"/>
    <col min="3864" max="3864" width="176.5" style="956" customWidth="1"/>
    <col min="3865" max="3876" width="53" style="956" customWidth="1"/>
    <col min="3877" max="3877" width="176.5" style="956" customWidth="1"/>
    <col min="3878" max="3885" width="63" style="956" customWidth="1"/>
    <col min="3886" max="3887" width="45.1640625" style="956" customWidth="1"/>
    <col min="3888" max="3888" width="41.1640625" style="956" customWidth="1"/>
    <col min="3889" max="4093" width="9.33203125" style="956"/>
    <col min="4094" max="4094" width="176.6640625" style="956" customWidth="1"/>
    <col min="4095" max="4106" width="55" style="956" customWidth="1"/>
    <col min="4107" max="4107" width="176.6640625" style="956" customWidth="1"/>
    <col min="4108" max="4119" width="53" style="956" customWidth="1"/>
    <col min="4120" max="4120" width="176.5" style="956" customWidth="1"/>
    <col min="4121" max="4132" width="53" style="956" customWidth="1"/>
    <col min="4133" max="4133" width="176.5" style="956" customWidth="1"/>
    <col min="4134" max="4141" width="63" style="956" customWidth="1"/>
    <col min="4142" max="4143" width="45.1640625" style="956" customWidth="1"/>
    <col min="4144" max="4144" width="41.1640625" style="956" customWidth="1"/>
    <col min="4145" max="4349" width="9.33203125" style="956"/>
    <col min="4350" max="4350" width="176.6640625" style="956" customWidth="1"/>
    <col min="4351" max="4362" width="55" style="956" customWidth="1"/>
    <col min="4363" max="4363" width="176.6640625" style="956" customWidth="1"/>
    <col min="4364" max="4375" width="53" style="956" customWidth="1"/>
    <col min="4376" max="4376" width="176.5" style="956" customWidth="1"/>
    <col min="4377" max="4388" width="53" style="956" customWidth="1"/>
    <col min="4389" max="4389" width="176.5" style="956" customWidth="1"/>
    <col min="4390" max="4397" width="63" style="956" customWidth="1"/>
    <col min="4398" max="4399" width="45.1640625" style="956" customWidth="1"/>
    <col min="4400" max="4400" width="41.1640625" style="956" customWidth="1"/>
    <col min="4401" max="4605" width="9.33203125" style="956"/>
    <col min="4606" max="4606" width="176.6640625" style="956" customWidth="1"/>
    <col min="4607" max="4618" width="55" style="956" customWidth="1"/>
    <col min="4619" max="4619" width="176.6640625" style="956" customWidth="1"/>
    <col min="4620" max="4631" width="53" style="956" customWidth="1"/>
    <col min="4632" max="4632" width="176.5" style="956" customWidth="1"/>
    <col min="4633" max="4644" width="53" style="956" customWidth="1"/>
    <col min="4645" max="4645" width="176.5" style="956" customWidth="1"/>
    <col min="4646" max="4653" width="63" style="956" customWidth="1"/>
    <col min="4654" max="4655" width="45.1640625" style="956" customWidth="1"/>
    <col min="4656" max="4656" width="41.1640625" style="956" customWidth="1"/>
    <col min="4657" max="4861" width="9.33203125" style="956"/>
    <col min="4862" max="4862" width="176.6640625" style="956" customWidth="1"/>
    <col min="4863" max="4874" width="55" style="956" customWidth="1"/>
    <col min="4875" max="4875" width="176.6640625" style="956" customWidth="1"/>
    <col min="4876" max="4887" width="53" style="956" customWidth="1"/>
    <col min="4888" max="4888" width="176.5" style="956" customWidth="1"/>
    <col min="4889" max="4900" width="53" style="956" customWidth="1"/>
    <col min="4901" max="4901" width="176.5" style="956" customWidth="1"/>
    <col min="4902" max="4909" width="63" style="956" customWidth="1"/>
    <col min="4910" max="4911" width="45.1640625" style="956" customWidth="1"/>
    <col min="4912" max="4912" width="41.1640625" style="956" customWidth="1"/>
    <col min="4913" max="5117" width="9.33203125" style="956"/>
    <col min="5118" max="5118" width="176.6640625" style="956" customWidth="1"/>
    <col min="5119" max="5130" width="55" style="956" customWidth="1"/>
    <col min="5131" max="5131" width="176.6640625" style="956" customWidth="1"/>
    <col min="5132" max="5143" width="53" style="956" customWidth="1"/>
    <col min="5144" max="5144" width="176.5" style="956" customWidth="1"/>
    <col min="5145" max="5156" width="53" style="956" customWidth="1"/>
    <col min="5157" max="5157" width="176.5" style="956" customWidth="1"/>
    <col min="5158" max="5165" width="63" style="956" customWidth="1"/>
    <col min="5166" max="5167" width="45.1640625" style="956" customWidth="1"/>
    <col min="5168" max="5168" width="41.1640625" style="956" customWidth="1"/>
    <col min="5169" max="5373" width="9.33203125" style="956"/>
    <col min="5374" max="5374" width="176.6640625" style="956" customWidth="1"/>
    <col min="5375" max="5386" width="55" style="956" customWidth="1"/>
    <col min="5387" max="5387" width="176.6640625" style="956" customWidth="1"/>
    <col min="5388" max="5399" width="53" style="956" customWidth="1"/>
    <col min="5400" max="5400" width="176.5" style="956" customWidth="1"/>
    <col min="5401" max="5412" width="53" style="956" customWidth="1"/>
    <col min="5413" max="5413" width="176.5" style="956" customWidth="1"/>
    <col min="5414" max="5421" width="63" style="956" customWidth="1"/>
    <col min="5422" max="5423" width="45.1640625" style="956" customWidth="1"/>
    <col min="5424" max="5424" width="41.1640625" style="956" customWidth="1"/>
    <col min="5425" max="5629" width="9.33203125" style="956"/>
    <col min="5630" max="5630" width="176.6640625" style="956" customWidth="1"/>
    <col min="5631" max="5642" width="55" style="956" customWidth="1"/>
    <col min="5643" max="5643" width="176.6640625" style="956" customWidth="1"/>
    <col min="5644" max="5655" width="53" style="956" customWidth="1"/>
    <col min="5656" max="5656" width="176.5" style="956" customWidth="1"/>
    <col min="5657" max="5668" width="53" style="956" customWidth="1"/>
    <col min="5669" max="5669" width="176.5" style="956" customWidth="1"/>
    <col min="5670" max="5677" width="63" style="956" customWidth="1"/>
    <col min="5678" max="5679" width="45.1640625" style="956" customWidth="1"/>
    <col min="5680" max="5680" width="41.1640625" style="956" customWidth="1"/>
    <col min="5681" max="5885" width="9.33203125" style="956"/>
    <col min="5886" max="5886" width="176.6640625" style="956" customWidth="1"/>
    <col min="5887" max="5898" width="55" style="956" customWidth="1"/>
    <col min="5899" max="5899" width="176.6640625" style="956" customWidth="1"/>
    <col min="5900" max="5911" width="53" style="956" customWidth="1"/>
    <col min="5912" max="5912" width="176.5" style="956" customWidth="1"/>
    <col min="5913" max="5924" width="53" style="956" customWidth="1"/>
    <col min="5925" max="5925" width="176.5" style="956" customWidth="1"/>
    <col min="5926" max="5933" width="63" style="956" customWidth="1"/>
    <col min="5934" max="5935" width="45.1640625" style="956" customWidth="1"/>
    <col min="5936" max="5936" width="41.1640625" style="956" customWidth="1"/>
    <col min="5937" max="6141" width="9.33203125" style="956"/>
    <col min="6142" max="6142" width="176.6640625" style="956" customWidth="1"/>
    <col min="6143" max="6154" width="55" style="956" customWidth="1"/>
    <col min="6155" max="6155" width="176.6640625" style="956" customWidth="1"/>
    <col min="6156" max="6167" width="53" style="956" customWidth="1"/>
    <col min="6168" max="6168" width="176.5" style="956" customWidth="1"/>
    <col min="6169" max="6180" width="53" style="956" customWidth="1"/>
    <col min="6181" max="6181" width="176.5" style="956" customWidth="1"/>
    <col min="6182" max="6189" width="63" style="956" customWidth="1"/>
    <col min="6190" max="6191" width="45.1640625" style="956" customWidth="1"/>
    <col min="6192" max="6192" width="41.1640625" style="956" customWidth="1"/>
    <col min="6193" max="6397" width="9.33203125" style="956"/>
    <col min="6398" max="6398" width="176.6640625" style="956" customWidth="1"/>
    <col min="6399" max="6410" width="55" style="956" customWidth="1"/>
    <col min="6411" max="6411" width="176.6640625" style="956" customWidth="1"/>
    <col min="6412" max="6423" width="53" style="956" customWidth="1"/>
    <col min="6424" max="6424" width="176.5" style="956" customWidth="1"/>
    <col min="6425" max="6436" width="53" style="956" customWidth="1"/>
    <col min="6437" max="6437" width="176.5" style="956" customWidth="1"/>
    <col min="6438" max="6445" width="63" style="956" customWidth="1"/>
    <col min="6446" max="6447" width="45.1640625" style="956" customWidth="1"/>
    <col min="6448" max="6448" width="41.1640625" style="956" customWidth="1"/>
    <col min="6449" max="6653" width="9.33203125" style="956"/>
    <col min="6654" max="6654" width="176.6640625" style="956" customWidth="1"/>
    <col min="6655" max="6666" width="55" style="956" customWidth="1"/>
    <col min="6667" max="6667" width="176.6640625" style="956" customWidth="1"/>
    <col min="6668" max="6679" width="53" style="956" customWidth="1"/>
    <col min="6680" max="6680" width="176.5" style="956" customWidth="1"/>
    <col min="6681" max="6692" width="53" style="956" customWidth="1"/>
    <col min="6693" max="6693" width="176.5" style="956" customWidth="1"/>
    <col min="6694" max="6701" width="63" style="956" customWidth="1"/>
    <col min="6702" max="6703" width="45.1640625" style="956" customWidth="1"/>
    <col min="6704" max="6704" width="41.1640625" style="956" customWidth="1"/>
    <col min="6705" max="6909" width="9.33203125" style="956"/>
    <col min="6910" max="6910" width="176.6640625" style="956" customWidth="1"/>
    <col min="6911" max="6922" width="55" style="956" customWidth="1"/>
    <col min="6923" max="6923" width="176.6640625" style="956" customWidth="1"/>
    <col min="6924" max="6935" width="53" style="956" customWidth="1"/>
    <col min="6936" max="6936" width="176.5" style="956" customWidth="1"/>
    <col min="6937" max="6948" width="53" style="956" customWidth="1"/>
    <col min="6949" max="6949" width="176.5" style="956" customWidth="1"/>
    <col min="6950" max="6957" width="63" style="956" customWidth="1"/>
    <col min="6958" max="6959" width="45.1640625" style="956" customWidth="1"/>
    <col min="6960" max="6960" width="41.1640625" style="956" customWidth="1"/>
    <col min="6961" max="7165" width="9.33203125" style="956"/>
    <col min="7166" max="7166" width="176.6640625" style="956" customWidth="1"/>
    <col min="7167" max="7178" width="55" style="956" customWidth="1"/>
    <col min="7179" max="7179" width="176.6640625" style="956" customWidth="1"/>
    <col min="7180" max="7191" width="53" style="956" customWidth="1"/>
    <col min="7192" max="7192" width="176.5" style="956" customWidth="1"/>
    <col min="7193" max="7204" width="53" style="956" customWidth="1"/>
    <col min="7205" max="7205" width="176.5" style="956" customWidth="1"/>
    <col min="7206" max="7213" width="63" style="956" customWidth="1"/>
    <col min="7214" max="7215" width="45.1640625" style="956" customWidth="1"/>
    <col min="7216" max="7216" width="41.1640625" style="956" customWidth="1"/>
    <col min="7217" max="7421" width="9.33203125" style="956"/>
    <col min="7422" max="7422" width="176.6640625" style="956" customWidth="1"/>
    <col min="7423" max="7434" width="55" style="956" customWidth="1"/>
    <col min="7435" max="7435" width="176.6640625" style="956" customWidth="1"/>
    <col min="7436" max="7447" width="53" style="956" customWidth="1"/>
    <col min="7448" max="7448" width="176.5" style="956" customWidth="1"/>
    <col min="7449" max="7460" width="53" style="956" customWidth="1"/>
    <col min="7461" max="7461" width="176.5" style="956" customWidth="1"/>
    <col min="7462" max="7469" width="63" style="956" customWidth="1"/>
    <col min="7470" max="7471" width="45.1640625" style="956" customWidth="1"/>
    <col min="7472" max="7472" width="41.1640625" style="956" customWidth="1"/>
    <col min="7473" max="7677" width="9.33203125" style="956"/>
    <col min="7678" max="7678" width="176.6640625" style="956" customWidth="1"/>
    <col min="7679" max="7690" width="55" style="956" customWidth="1"/>
    <col min="7691" max="7691" width="176.6640625" style="956" customWidth="1"/>
    <col min="7692" max="7703" width="53" style="956" customWidth="1"/>
    <col min="7704" max="7704" width="176.5" style="956" customWidth="1"/>
    <col min="7705" max="7716" width="53" style="956" customWidth="1"/>
    <col min="7717" max="7717" width="176.5" style="956" customWidth="1"/>
    <col min="7718" max="7725" width="63" style="956" customWidth="1"/>
    <col min="7726" max="7727" width="45.1640625" style="956" customWidth="1"/>
    <col min="7728" max="7728" width="41.1640625" style="956" customWidth="1"/>
    <col min="7729" max="7933" width="9.33203125" style="956"/>
    <col min="7934" max="7934" width="176.6640625" style="956" customWidth="1"/>
    <col min="7935" max="7946" width="55" style="956" customWidth="1"/>
    <col min="7947" max="7947" width="176.6640625" style="956" customWidth="1"/>
    <col min="7948" max="7959" width="53" style="956" customWidth="1"/>
    <col min="7960" max="7960" width="176.5" style="956" customWidth="1"/>
    <col min="7961" max="7972" width="53" style="956" customWidth="1"/>
    <col min="7973" max="7973" width="176.5" style="956" customWidth="1"/>
    <col min="7974" max="7981" width="63" style="956" customWidth="1"/>
    <col min="7982" max="7983" width="45.1640625" style="956" customWidth="1"/>
    <col min="7984" max="7984" width="41.1640625" style="956" customWidth="1"/>
    <col min="7985" max="8189" width="9.33203125" style="956"/>
    <col min="8190" max="8190" width="176.6640625" style="956" customWidth="1"/>
    <col min="8191" max="8202" width="55" style="956" customWidth="1"/>
    <col min="8203" max="8203" width="176.6640625" style="956" customWidth="1"/>
    <col min="8204" max="8215" width="53" style="956" customWidth="1"/>
    <col min="8216" max="8216" width="176.5" style="956" customWidth="1"/>
    <col min="8217" max="8228" width="53" style="956" customWidth="1"/>
    <col min="8229" max="8229" width="176.5" style="956" customWidth="1"/>
    <col min="8230" max="8237" width="63" style="956" customWidth="1"/>
    <col min="8238" max="8239" width="45.1640625" style="956" customWidth="1"/>
    <col min="8240" max="8240" width="41.1640625" style="956" customWidth="1"/>
    <col min="8241" max="8445" width="9.33203125" style="956"/>
    <col min="8446" max="8446" width="176.6640625" style="956" customWidth="1"/>
    <col min="8447" max="8458" width="55" style="956" customWidth="1"/>
    <col min="8459" max="8459" width="176.6640625" style="956" customWidth="1"/>
    <col min="8460" max="8471" width="53" style="956" customWidth="1"/>
    <col min="8472" max="8472" width="176.5" style="956" customWidth="1"/>
    <col min="8473" max="8484" width="53" style="956" customWidth="1"/>
    <col min="8485" max="8485" width="176.5" style="956" customWidth="1"/>
    <col min="8486" max="8493" width="63" style="956" customWidth="1"/>
    <col min="8494" max="8495" width="45.1640625" style="956" customWidth="1"/>
    <col min="8496" max="8496" width="41.1640625" style="956" customWidth="1"/>
    <col min="8497" max="8701" width="9.33203125" style="956"/>
    <col min="8702" max="8702" width="176.6640625" style="956" customWidth="1"/>
    <col min="8703" max="8714" width="55" style="956" customWidth="1"/>
    <col min="8715" max="8715" width="176.6640625" style="956" customWidth="1"/>
    <col min="8716" max="8727" width="53" style="956" customWidth="1"/>
    <col min="8728" max="8728" width="176.5" style="956" customWidth="1"/>
    <col min="8729" max="8740" width="53" style="956" customWidth="1"/>
    <col min="8741" max="8741" width="176.5" style="956" customWidth="1"/>
    <col min="8742" max="8749" width="63" style="956" customWidth="1"/>
    <col min="8750" max="8751" width="45.1640625" style="956" customWidth="1"/>
    <col min="8752" max="8752" width="41.1640625" style="956" customWidth="1"/>
    <col min="8753" max="8957" width="9.33203125" style="956"/>
    <col min="8958" max="8958" width="176.6640625" style="956" customWidth="1"/>
    <col min="8959" max="8970" width="55" style="956" customWidth="1"/>
    <col min="8971" max="8971" width="176.6640625" style="956" customWidth="1"/>
    <col min="8972" max="8983" width="53" style="956" customWidth="1"/>
    <col min="8984" max="8984" width="176.5" style="956" customWidth="1"/>
    <col min="8985" max="8996" width="53" style="956" customWidth="1"/>
    <col min="8997" max="8997" width="176.5" style="956" customWidth="1"/>
    <col min="8998" max="9005" width="63" style="956" customWidth="1"/>
    <col min="9006" max="9007" width="45.1640625" style="956" customWidth="1"/>
    <col min="9008" max="9008" width="41.1640625" style="956" customWidth="1"/>
    <col min="9009" max="9213" width="9.33203125" style="956"/>
    <col min="9214" max="9214" width="176.6640625" style="956" customWidth="1"/>
    <col min="9215" max="9226" width="55" style="956" customWidth="1"/>
    <col min="9227" max="9227" width="176.6640625" style="956" customWidth="1"/>
    <col min="9228" max="9239" width="53" style="956" customWidth="1"/>
    <col min="9240" max="9240" width="176.5" style="956" customWidth="1"/>
    <col min="9241" max="9252" width="53" style="956" customWidth="1"/>
    <col min="9253" max="9253" width="176.5" style="956" customWidth="1"/>
    <col min="9254" max="9261" width="63" style="956" customWidth="1"/>
    <col min="9262" max="9263" width="45.1640625" style="956" customWidth="1"/>
    <col min="9264" max="9264" width="41.1640625" style="956" customWidth="1"/>
    <col min="9265" max="9469" width="9.33203125" style="956"/>
    <col min="9470" max="9470" width="176.6640625" style="956" customWidth="1"/>
    <col min="9471" max="9482" width="55" style="956" customWidth="1"/>
    <col min="9483" max="9483" width="176.6640625" style="956" customWidth="1"/>
    <col min="9484" max="9495" width="53" style="956" customWidth="1"/>
    <col min="9496" max="9496" width="176.5" style="956" customWidth="1"/>
    <col min="9497" max="9508" width="53" style="956" customWidth="1"/>
    <col min="9509" max="9509" width="176.5" style="956" customWidth="1"/>
    <col min="9510" max="9517" width="63" style="956" customWidth="1"/>
    <col min="9518" max="9519" width="45.1640625" style="956" customWidth="1"/>
    <col min="9520" max="9520" width="41.1640625" style="956" customWidth="1"/>
    <col min="9521" max="9725" width="9.33203125" style="956"/>
    <col min="9726" max="9726" width="176.6640625" style="956" customWidth="1"/>
    <col min="9727" max="9738" width="55" style="956" customWidth="1"/>
    <col min="9739" max="9739" width="176.6640625" style="956" customWidth="1"/>
    <col min="9740" max="9751" width="53" style="956" customWidth="1"/>
    <col min="9752" max="9752" width="176.5" style="956" customWidth="1"/>
    <col min="9753" max="9764" width="53" style="956" customWidth="1"/>
    <col min="9765" max="9765" width="176.5" style="956" customWidth="1"/>
    <col min="9766" max="9773" width="63" style="956" customWidth="1"/>
    <col min="9774" max="9775" width="45.1640625" style="956" customWidth="1"/>
    <col min="9776" max="9776" width="41.1640625" style="956" customWidth="1"/>
    <col min="9777" max="9981" width="9.33203125" style="956"/>
    <col min="9982" max="9982" width="176.6640625" style="956" customWidth="1"/>
    <col min="9983" max="9994" width="55" style="956" customWidth="1"/>
    <col min="9995" max="9995" width="176.6640625" style="956" customWidth="1"/>
    <col min="9996" max="10007" width="53" style="956" customWidth="1"/>
    <col min="10008" max="10008" width="176.5" style="956" customWidth="1"/>
    <col min="10009" max="10020" width="53" style="956" customWidth="1"/>
    <col min="10021" max="10021" width="176.5" style="956" customWidth="1"/>
    <col min="10022" max="10029" width="63" style="956" customWidth="1"/>
    <col min="10030" max="10031" width="45.1640625" style="956" customWidth="1"/>
    <col min="10032" max="10032" width="41.1640625" style="956" customWidth="1"/>
    <col min="10033" max="10237" width="9.33203125" style="956"/>
    <col min="10238" max="10238" width="176.6640625" style="956" customWidth="1"/>
    <col min="10239" max="10250" width="55" style="956" customWidth="1"/>
    <col min="10251" max="10251" width="176.6640625" style="956" customWidth="1"/>
    <col min="10252" max="10263" width="53" style="956" customWidth="1"/>
    <col min="10264" max="10264" width="176.5" style="956" customWidth="1"/>
    <col min="10265" max="10276" width="53" style="956" customWidth="1"/>
    <col min="10277" max="10277" width="176.5" style="956" customWidth="1"/>
    <col min="10278" max="10285" width="63" style="956" customWidth="1"/>
    <col min="10286" max="10287" width="45.1640625" style="956" customWidth="1"/>
    <col min="10288" max="10288" width="41.1640625" style="956" customWidth="1"/>
    <col min="10289" max="10493" width="9.33203125" style="956"/>
    <col min="10494" max="10494" width="176.6640625" style="956" customWidth="1"/>
    <col min="10495" max="10506" width="55" style="956" customWidth="1"/>
    <col min="10507" max="10507" width="176.6640625" style="956" customWidth="1"/>
    <col min="10508" max="10519" width="53" style="956" customWidth="1"/>
    <col min="10520" max="10520" width="176.5" style="956" customWidth="1"/>
    <col min="10521" max="10532" width="53" style="956" customWidth="1"/>
    <col min="10533" max="10533" width="176.5" style="956" customWidth="1"/>
    <col min="10534" max="10541" width="63" style="956" customWidth="1"/>
    <col min="10542" max="10543" width="45.1640625" style="956" customWidth="1"/>
    <col min="10544" max="10544" width="41.1640625" style="956" customWidth="1"/>
    <col min="10545" max="10749" width="9.33203125" style="956"/>
    <col min="10750" max="10750" width="176.6640625" style="956" customWidth="1"/>
    <col min="10751" max="10762" width="55" style="956" customWidth="1"/>
    <col min="10763" max="10763" width="176.6640625" style="956" customWidth="1"/>
    <col min="10764" max="10775" width="53" style="956" customWidth="1"/>
    <col min="10776" max="10776" width="176.5" style="956" customWidth="1"/>
    <col min="10777" max="10788" width="53" style="956" customWidth="1"/>
    <col min="10789" max="10789" width="176.5" style="956" customWidth="1"/>
    <col min="10790" max="10797" width="63" style="956" customWidth="1"/>
    <col min="10798" max="10799" width="45.1640625" style="956" customWidth="1"/>
    <col min="10800" max="10800" width="41.1640625" style="956" customWidth="1"/>
    <col min="10801" max="11005" width="9.33203125" style="956"/>
    <col min="11006" max="11006" width="176.6640625" style="956" customWidth="1"/>
    <col min="11007" max="11018" width="55" style="956" customWidth="1"/>
    <col min="11019" max="11019" width="176.6640625" style="956" customWidth="1"/>
    <col min="11020" max="11031" width="53" style="956" customWidth="1"/>
    <col min="11032" max="11032" width="176.5" style="956" customWidth="1"/>
    <col min="11033" max="11044" width="53" style="956" customWidth="1"/>
    <col min="11045" max="11045" width="176.5" style="956" customWidth="1"/>
    <col min="11046" max="11053" width="63" style="956" customWidth="1"/>
    <col min="11054" max="11055" width="45.1640625" style="956" customWidth="1"/>
    <col min="11056" max="11056" width="41.1640625" style="956" customWidth="1"/>
    <col min="11057" max="11261" width="9.33203125" style="956"/>
    <col min="11262" max="11262" width="176.6640625" style="956" customWidth="1"/>
    <col min="11263" max="11274" width="55" style="956" customWidth="1"/>
    <col min="11275" max="11275" width="176.6640625" style="956" customWidth="1"/>
    <col min="11276" max="11287" width="53" style="956" customWidth="1"/>
    <col min="11288" max="11288" width="176.5" style="956" customWidth="1"/>
    <col min="11289" max="11300" width="53" style="956" customWidth="1"/>
    <col min="11301" max="11301" width="176.5" style="956" customWidth="1"/>
    <col min="11302" max="11309" width="63" style="956" customWidth="1"/>
    <col min="11310" max="11311" width="45.1640625" style="956" customWidth="1"/>
    <col min="11312" max="11312" width="41.1640625" style="956" customWidth="1"/>
    <col min="11313" max="11517" width="9.33203125" style="956"/>
    <col min="11518" max="11518" width="176.6640625" style="956" customWidth="1"/>
    <col min="11519" max="11530" width="55" style="956" customWidth="1"/>
    <col min="11531" max="11531" width="176.6640625" style="956" customWidth="1"/>
    <col min="11532" max="11543" width="53" style="956" customWidth="1"/>
    <col min="11544" max="11544" width="176.5" style="956" customWidth="1"/>
    <col min="11545" max="11556" width="53" style="956" customWidth="1"/>
    <col min="11557" max="11557" width="176.5" style="956" customWidth="1"/>
    <col min="11558" max="11565" width="63" style="956" customWidth="1"/>
    <col min="11566" max="11567" width="45.1640625" style="956" customWidth="1"/>
    <col min="11568" max="11568" width="41.1640625" style="956" customWidth="1"/>
    <col min="11569" max="11773" width="9.33203125" style="956"/>
    <col min="11774" max="11774" width="176.6640625" style="956" customWidth="1"/>
    <col min="11775" max="11786" width="55" style="956" customWidth="1"/>
    <col min="11787" max="11787" width="176.6640625" style="956" customWidth="1"/>
    <col min="11788" max="11799" width="53" style="956" customWidth="1"/>
    <col min="11800" max="11800" width="176.5" style="956" customWidth="1"/>
    <col min="11801" max="11812" width="53" style="956" customWidth="1"/>
    <col min="11813" max="11813" width="176.5" style="956" customWidth="1"/>
    <col min="11814" max="11821" width="63" style="956" customWidth="1"/>
    <col min="11822" max="11823" width="45.1640625" style="956" customWidth="1"/>
    <col min="11824" max="11824" width="41.1640625" style="956" customWidth="1"/>
    <col min="11825" max="12029" width="9.33203125" style="956"/>
    <col min="12030" max="12030" width="176.6640625" style="956" customWidth="1"/>
    <col min="12031" max="12042" width="55" style="956" customWidth="1"/>
    <col min="12043" max="12043" width="176.6640625" style="956" customWidth="1"/>
    <col min="12044" max="12055" width="53" style="956" customWidth="1"/>
    <col min="12056" max="12056" width="176.5" style="956" customWidth="1"/>
    <col min="12057" max="12068" width="53" style="956" customWidth="1"/>
    <col min="12069" max="12069" width="176.5" style="956" customWidth="1"/>
    <col min="12070" max="12077" width="63" style="956" customWidth="1"/>
    <col min="12078" max="12079" width="45.1640625" style="956" customWidth="1"/>
    <col min="12080" max="12080" width="41.1640625" style="956" customWidth="1"/>
    <col min="12081" max="12285" width="9.33203125" style="956"/>
    <col min="12286" max="12286" width="176.6640625" style="956" customWidth="1"/>
    <col min="12287" max="12298" width="55" style="956" customWidth="1"/>
    <col min="12299" max="12299" width="176.6640625" style="956" customWidth="1"/>
    <col min="12300" max="12311" width="53" style="956" customWidth="1"/>
    <col min="12312" max="12312" width="176.5" style="956" customWidth="1"/>
    <col min="12313" max="12324" width="53" style="956" customWidth="1"/>
    <col min="12325" max="12325" width="176.5" style="956" customWidth="1"/>
    <col min="12326" max="12333" width="63" style="956" customWidth="1"/>
    <col min="12334" max="12335" width="45.1640625" style="956" customWidth="1"/>
    <col min="12336" max="12336" width="41.1640625" style="956" customWidth="1"/>
    <col min="12337" max="12541" width="9.33203125" style="956"/>
    <col min="12542" max="12542" width="176.6640625" style="956" customWidth="1"/>
    <col min="12543" max="12554" width="55" style="956" customWidth="1"/>
    <col min="12555" max="12555" width="176.6640625" style="956" customWidth="1"/>
    <col min="12556" max="12567" width="53" style="956" customWidth="1"/>
    <col min="12568" max="12568" width="176.5" style="956" customWidth="1"/>
    <col min="12569" max="12580" width="53" style="956" customWidth="1"/>
    <col min="12581" max="12581" width="176.5" style="956" customWidth="1"/>
    <col min="12582" max="12589" width="63" style="956" customWidth="1"/>
    <col min="12590" max="12591" width="45.1640625" style="956" customWidth="1"/>
    <col min="12592" max="12592" width="41.1640625" style="956" customWidth="1"/>
    <col min="12593" max="12797" width="9.33203125" style="956"/>
    <col min="12798" max="12798" width="176.6640625" style="956" customWidth="1"/>
    <col min="12799" max="12810" width="55" style="956" customWidth="1"/>
    <col min="12811" max="12811" width="176.6640625" style="956" customWidth="1"/>
    <col min="12812" max="12823" width="53" style="956" customWidth="1"/>
    <col min="12824" max="12824" width="176.5" style="956" customWidth="1"/>
    <col min="12825" max="12836" width="53" style="956" customWidth="1"/>
    <col min="12837" max="12837" width="176.5" style="956" customWidth="1"/>
    <col min="12838" max="12845" width="63" style="956" customWidth="1"/>
    <col min="12846" max="12847" width="45.1640625" style="956" customWidth="1"/>
    <col min="12848" max="12848" width="41.1640625" style="956" customWidth="1"/>
    <col min="12849" max="13053" width="9.33203125" style="956"/>
    <col min="13054" max="13054" width="176.6640625" style="956" customWidth="1"/>
    <col min="13055" max="13066" width="55" style="956" customWidth="1"/>
    <col min="13067" max="13067" width="176.6640625" style="956" customWidth="1"/>
    <col min="13068" max="13079" width="53" style="956" customWidth="1"/>
    <col min="13080" max="13080" width="176.5" style="956" customWidth="1"/>
    <col min="13081" max="13092" width="53" style="956" customWidth="1"/>
    <col min="13093" max="13093" width="176.5" style="956" customWidth="1"/>
    <col min="13094" max="13101" width="63" style="956" customWidth="1"/>
    <col min="13102" max="13103" width="45.1640625" style="956" customWidth="1"/>
    <col min="13104" max="13104" width="41.1640625" style="956" customWidth="1"/>
    <col min="13105" max="13309" width="9.33203125" style="956"/>
    <col min="13310" max="13310" width="176.6640625" style="956" customWidth="1"/>
    <col min="13311" max="13322" width="55" style="956" customWidth="1"/>
    <col min="13323" max="13323" width="176.6640625" style="956" customWidth="1"/>
    <col min="13324" max="13335" width="53" style="956" customWidth="1"/>
    <col min="13336" max="13336" width="176.5" style="956" customWidth="1"/>
    <col min="13337" max="13348" width="53" style="956" customWidth="1"/>
    <col min="13349" max="13349" width="176.5" style="956" customWidth="1"/>
    <col min="13350" max="13357" width="63" style="956" customWidth="1"/>
    <col min="13358" max="13359" width="45.1640625" style="956" customWidth="1"/>
    <col min="13360" max="13360" width="41.1640625" style="956" customWidth="1"/>
    <col min="13361" max="13565" width="9.33203125" style="956"/>
    <col min="13566" max="13566" width="176.6640625" style="956" customWidth="1"/>
    <col min="13567" max="13578" width="55" style="956" customWidth="1"/>
    <col min="13579" max="13579" width="176.6640625" style="956" customWidth="1"/>
    <col min="13580" max="13591" width="53" style="956" customWidth="1"/>
    <col min="13592" max="13592" width="176.5" style="956" customWidth="1"/>
    <col min="13593" max="13604" width="53" style="956" customWidth="1"/>
    <col min="13605" max="13605" width="176.5" style="956" customWidth="1"/>
    <col min="13606" max="13613" width="63" style="956" customWidth="1"/>
    <col min="13614" max="13615" width="45.1640625" style="956" customWidth="1"/>
    <col min="13616" max="13616" width="41.1640625" style="956" customWidth="1"/>
    <col min="13617" max="13821" width="9.33203125" style="956"/>
    <col min="13822" max="13822" width="176.6640625" style="956" customWidth="1"/>
    <col min="13823" max="13834" width="55" style="956" customWidth="1"/>
    <col min="13835" max="13835" width="176.6640625" style="956" customWidth="1"/>
    <col min="13836" max="13847" width="53" style="956" customWidth="1"/>
    <col min="13848" max="13848" width="176.5" style="956" customWidth="1"/>
    <col min="13849" max="13860" width="53" style="956" customWidth="1"/>
    <col min="13861" max="13861" width="176.5" style="956" customWidth="1"/>
    <col min="13862" max="13869" width="63" style="956" customWidth="1"/>
    <col min="13870" max="13871" width="45.1640625" style="956" customWidth="1"/>
    <col min="13872" max="13872" width="41.1640625" style="956" customWidth="1"/>
    <col min="13873" max="14077" width="9.33203125" style="956"/>
    <col min="14078" max="14078" width="176.6640625" style="956" customWidth="1"/>
    <col min="14079" max="14090" width="55" style="956" customWidth="1"/>
    <col min="14091" max="14091" width="176.6640625" style="956" customWidth="1"/>
    <col min="14092" max="14103" width="53" style="956" customWidth="1"/>
    <col min="14104" max="14104" width="176.5" style="956" customWidth="1"/>
    <col min="14105" max="14116" width="53" style="956" customWidth="1"/>
    <col min="14117" max="14117" width="176.5" style="956" customWidth="1"/>
    <col min="14118" max="14125" width="63" style="956" customWidth="1"/>
    <col min="14126" max="14127" width="45.1640625" style="956" customWidth="1"/>
    <col min="14128" max="14128" width="41.1640625" style="956" customWidth="1"/>
    <col min="14129" max="14333" width="9.33203125" style="956"/>
    <col min="14334" max="14334" width="176.6640625" style="956" customWidth="1"/>
    <col min="14335" max="14346" width="55" style="956" customWidth="1"/>
    <col min="14347" max="14347" width="176.6640625" style="956" customWidth="1"/>
    <col min="14348" max="14359" width="53" style="956" customWidth="1"/>
    <col min="14360" max="14360" width="176.5" style="956" customWidth="1"/>
    <col min="14361" max="14372" width="53" style="956" customWidth="1"/>
    <col min="14373" max="14373" width="176.5" style="956" customWidth="1"/>
    <col min="14374" max="14381" width="63" style="956" customWidth="1"/>
    <col min="14382" max="14383" width="45.1640625" style="956" customWidth="1"/>
    <col min="14384" max="14384" width="41.1640625" style="956" customWidth="1"/>
    <col min="14385" max="14589" width="9.33203125" style="956"/>
    <col min="14590" max="14590" width="176.6640625" style="956" customWidth="1"/>
    <col min="14591" max="14602" width="55" style="956" customWidth="1"/>
    <col min="14603" max="14603" width="176.6640625" style="956" customWidth="1"/>
    <col min="14604" max="14615" width="53" style="956" customWidth="1"/>
    <col min="14616" max="14616" width="176.5" style="956" customWidth="1"/>
    <col min="14617" max="14628" width="53" style="956" customWidth="1"/>
    <col min="14629" max="14629" width="176.5" style="956" customWidth="1"/>
    <col min="14630" max="14637" width="63" style="956" customWidth="1"/>
    <col min="14638" max="14639" width="45.1640625" style="956" customWidth="1"/>
    <col min="14640" max="14640" width="41.1640625" style="956" customWidth="1"/>
    <col min="14641" max="14845" width="9.33203125" style="956"/>
    <col min="14846" max="14846" width="176.6640625" style="956" customWidth="1"/>
    <col min="14847" max="14858" width="55" style="956" customWidth="1"/>
    <col min="14859" max="14859" width="176.6640625" style="956" customWidth="1"/>
    <col min="14860" max="14871" width="53" style="956" customWidth="1"/>
    <col min="14872" max="14872" width="176.5" style="956" customWidth="1"/>
    <col min="14873" max="14884" width="53" style="956" customWidth="1"/>
    <col min="14885" max="14885" width="176.5" style="956" customWidth="1"/>
    <col min="14886" max="14893" width="63" style="956" customWidth="1"/>
    <col min="14894" max="14895" width="45.1640625" style="956" customWidth="1"/>
    <col min="14896" max="14896" width="41.1640625" style="956" customWidth="1"/>
    <col min="14897" max="15101" width="9.33203125" style="956"/>
    <col min="15102" max="15102" width="176.6640625" style="956" customWidth="1"/>
    <col min="15103" max="15114" width="55" style="956" customWidth="1"/>
    <col min="15115" max="15115" width="176.6640625" style="956" customWidth="1"/>
    <col min="15116" max="15127" width="53" style="956" customWidth="1"/>
    <col min="15128" max="15128" width="176.5" style="956" customWidth="1"/>
    <col min="15129" max="15140" width="53" style="956" customWidth="1"/>
    <col min="15141" max="15141" width="176.5" style="956" customWidth="1"/>
    <col min="15142" max="15149" width="63" style="956" customWidth="1"/>
    <col min="15150" max="15151" width="45.1640625" style="956" customWidth="1"/>
    <col min="15152" max="15152" width="41.1640625" style="956" customWidth="1"/>
    <col min="15153" max="15357" width="9.33203125" style="956"/>
    <col min="15358" max="15358" width="176.6640625" style="956" customWidth="1"/>
    <col min="15359" max="15370" width="55" style="956" customWidth="1"/>
    <col min="15371" max="15371" width="176.6640625" style="956" customWidth="1"/>
    <col min="15372" max="15383" width="53" style="956" customWidth="1"/>
    <col min="15384" max="15384" width="176.5" style="956" customWidth="1"/>
    <col min="15385" max="15396" width="53" style="956" customWidth="1"/>
    <col min="15397" max="15397" width="176.5" style="956" customWidth="1"/>
    <col min="15398" max="15405" width="63" style="956" customWidth="1"/>
    <col min="15406" max="15407" width="45.1640625" style="956" customWidth="1"/>
    <col min="15408" max="15408" width="41.1640625" style="956" customWidth="1"/>
    <col min="15409" max="15613" width="9.33203125" style="956"/>
    <col min="15614" max="15614" width="176.6640625" style="956" customWidth="1"/>
    <col min="15615" max="15626" width="55" style="956" customWidth="1"/>
    <col min="15627" max="15627" width="176.6640625" style="956" customWidth="1"/>
    <col min="15628" max="15639" width="53" style="956" customWidth="1"/>
    <col min="15640" max="15640" width="176.5" style="956" customWidth="1"/>
    <col min="15641" max="15652" width="53" style="956" customWidth="1"/>
    <col min="15653" max="15653" width="176.5" style="956" customWidth="1"/>
    <col min="15654" max="15661" width="63" style="956" customWidth="1"/>
    <col min="15662" max="15663" width="45.1640625" style="956" customWidth="1"/>
    <col min="15664" max="15664" width="41.1640625" style="956" customWidth="1"/>
    <col min="15665" max="15869" width="9.33203125" style="956"/>
    <col min="15870" max="15870" width="176.6640625" style="956" customWidth="1"/>
    <col min="15871" max="15882" width="55" style="956" customWidth="1"/>
    <col min="15883" max="15883" width="176.6640625" style="956" customWidth="1"/>
    <col min="15884" max="15895" width="53" style="956" customWidth="1"/>
    <col min="15896" max="15896" width="176.5" style="956" customWidth="1"/>
    <col min="15897" max="15908" width="53" style="956" customWidth="1"/>
    <col min="15909" max="15909" width="176.5" style="956" customWidth="1"/>
    <col min="15910" max="15917" width="63" style="956" customWidth="1"/>
    <col min="15918" max="15919" width="45.1640625" style="956" customWidth="1"/>
    <col min="15920" max="15920" width="41.1640625" style="956" customWidth="1"/>
    <col min="15921" max="16125" width="9.33203125" style="956"/>
    <col min="16126" max="16126" width="176.6640625" style="956" customWidth="1"/>
    <col min="16127" max="16138" width="55" style="956" customWidth="1"/>
    <col min="16139" max="16139" width="176.6640625" style="956" customWidth="1"/>
    <col min="16140" max="16151" width="53" style="956" customWidth="1"/>
    <col min="16152" max="16152" width="176.5" style="956" customWidth="1"/>
    <col min="16153" max="16164" width="53" style="956" customWidth="1"/>
    <col min="16165" max="16165" width="176.5" style="956" customWidth="1"/>
    <col min="16166" max="16173" width="63" style="956" customWidth="1"/>
    <col min="16174" max="16175" width="45.1640625" style="956" customWidth="1"/>
    <col min="16176" max="16176" width="41.1640625" style="956" customWidth="1"/>
    <col min="16177" max="16384" width="9.33203125" style="956"/>
  </cols>
  <sheetData>
    <row r="1" spans="1:61" ht="38.25" customHeight="1" x14ac:dyDescent="0.35">
      <c r="A1" s="952"/>
      <c r="B1" s="953"/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2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4"/>
      <c r="AB1" s="952"/>
      <c r="AC1" s="952"/>
      <c r="AD1" s="952"/>
      <c r="AE1" s="952"/>
      <c r="AF1" s="952"/>
      <c r="AG1" s="952"/>
      <c r="AH1" s="952"/>
      <c r="AI1" s="952"/>
      <c r="AJ1" s="952"/>
      <c r="AK1" s="952"/>
      <c r="AL1" s="952"/>
      <c r="AM1" s="952"/>
      <c r="AN1" s="954"/>
      <c r="AO1" s="952"/>
      <c r="AP1" s="952"/>
      <c r="AQ1" s="952"/>
      <c r="AR1" s="952"/>
      <c r="AS1" s="952"/>
      <c r="AT1" s="952"/>
      <c r="AU1" s="952"/>
      <c r="AV1" s="952"/>
      <c r="AW1" s="955"/>
      <c r="AX1" s="955"/>
      <c r="AY1" s="955"/>
      <c r="AZ1" s="955"/>
      <c r="BA1" s="955"/>
      <c r="BB1" s="955"/>
      <c r="BC1" s="955"/>
      <c r="BD1" s="955"/>
      <c r="BE1" s="955"/>
      <c r="BF1" s="955"/>
      <c r="BG1" s="955"/>
      <c r="BH1" s="955"/>
      <c r="BI1" s="955"/>
    </row>
    <row r="2" spans="1:61" s="958" customFormat="1" ht="54" customHeight="1" x14ac:dyDescent="0.85">
      <c r="A2" s="1911" t="s">
        <v>593</v>
      </c>
      <c r="B2" s="1911"/>
      <c r="C2" s="1911"/>
      <c r="D2" s="1911"/>
      <c r="E2" s="1911"/>
      <c r="F2" s="1911"/>
      <c r="G2" s="1911"/>
      <c r="H2" s="1911"/>
      <c r="I2" s="1911"/>
      <c r="J2" s="1911"/>
      <c r="K2" s="1911"/>
      <c r="L2" s="1911"/>
      <c r="M2" s="1911"/>
      <c r="N2" s="1911" t="s">
        <v>593</v>
      </c>
      <c r="O2" s="1911"/>
      <c r="P2" s="1911"/>
      <c r="Q2" s="1911"/>
      <c r="R2" s="1911"/>
      <c r="S2" s="1911"/>
      <c r="T2" s="1911"/>
      <c r="U2" s="1911"/>
      <c r="V2" s="1911"/>
      <c r="W2" s="1911"/>
      <c r="X2" s="1911"/>
      <c r="Y2" s="1911"/>
      <c r="Z2" s="1911"/>
      <c r="AA2" s="1911" t="s">
        <v>593</v>
      </c>
      <c r="AB2" s="1911"/>
      <c r="AC2" s="1911"/>
      <c r="AD2" s="1911"/>
      <c r="AE2" s="1911"/>
      <c r="AF2" s="1911"/>
      <c r="AG2" s="1911"/>
      <c r="AH2" s="1911"/>
      <c r="AI2" s="1911"/>
      <c r="AJ2" s="1911"/>
      <c r="AK2" s="1911"/>
      <c r="AL2" s="1911"/>
      <c r="AM2" s="1911"/>
      <c r="AN2" s="1911" t="s">
        <v>593</v>
      </c>
      <c r="AO2" s="1911"/>
      <c r="AP2" s="1911"/>
      <c r="AQ2" s="1911"/>
      <c r="AR2" s="1911"/>
      <c r="AS2" s="1911"/>
      <c r="AT2" s="1911"/>
      <c r="AU2" s="1911"/>
      <c r="AV2" s="1911"/>
      <c r="AW2" s="957"/>
      <c r="AX2" s="957"/>
      <c r="AY2" s="957"/>
      <c r="AZ2" s="957"/>
      <c r="BA2" s="957"/>
      <c r="BB2" s="957"/>
      <c r="BC2" s="957"/>
      <c r="BD2" s="957"/>
      <c r="BE2" s="957"/>
      <c r="BF2" s="957"/>
      <c r="BG2" s="957"/>
      <c r="BH2" s="957"/>
      <c r="BI2" s="957"/>
    </row>
    <row r="3" spans="1:61" s="958" customFormat="1" ht="54" customHeight="1" x14ac:dyDescent="0.85">
      <c r="A3" s="1911" t="s">
        <v>1179</v>
      </c>
      <c r="B3" s="1911"/>
      <c r="C3" s="1911"/>
      <c r="D3" s="1911"/>
      <c r="E3" s="1911"/>
      <c r="F3" s="1911"/>
      <c r="G3" s="1911"/>
      <c r="H3" s="1911"/>
      <c r="I3" s="1911"/>
      <c r="J3" s="1911"/>
      <c r="K3" s="1911"/>
      <c r="L3" s="1911"/>
      <c r="M3" s="1911"/>
      <c r="N3" s="1911" t="s">
        <v>1179</v>
      </c>
      <c r="O3" s="1911"/>
      <c r="P3" s="1911"/>
      <c r="Q3" s="1911"/>
      <c r="R3" s="1911"/>
      <c r="S3" s="1911"/>
      <c r="T3" s="1911"/>
      <c r="U3" s="1911"/>
      <c r="V3" s="1911"/>
      <c r="W3" s="1911"/>
      <c r="X3" s="1911"/>
      <c r="Y3" s="1911"/>
      <c r="Z3" s="1911"/>
      <c r="AA3" s="1911" t="s">
        <v>1179</v>
      </c>
      <c r="AB3" s="1911"/>
      <c r="AC3" s="1911"/>
      <c r="AD3" s="1911"/>
      <c r="AE3" s="1911"/>
      <c r="AF3" s="1911"/>
      <c r="AG3" s="1911"/>
      <c r="AH3" s="1911"/>
      <c r="AI3" s="1911"/>
      <c r="AJ3" s="1911"/>
      <c r="AK3" s="1911"/>
      <c r="AL3" s="1911"/>
      <c r="AM3" s="1911"/>
      <c r="AN3" s="1911" t="s">
        <v>1179</v>
      </c>
      <c r="AO3" s="1911"/>
      <c r="AP3" s="1911"/>
      <c r="AQ3" s="1911"/>
      <c r="AR3" s="1911"/>
      <c r="AS3" s="1911"/>
      <c r="AT3" s="1911"/>
      <c r="AU3" s="1911"/>
      <c r="AV3" s="1911"/>
      <c r="AW3" s="957"/>
      <c r="AX3" s="957"/>
      <c r="AY3" s="957"/>
      <c r="AZ3" s="957"/>
      <c r="BA3" s="957"/>
      <c r="BB3" s="957"/>
      <c r="BC3" s="957"/>
      <c r="BD3" s="957"/>
      <c r="BE3" s="957"/>
      <c r="BF3" s="957"/>
      <c r="BG3" s="957"/>
      <c r="BH3" s="957"/>
      <c r="BI3" s="957"/>
    </row>
    <row r="4" spans="1:61" ht="62.25" customHeight="1" thickBot="1" x14ac:dyDescent="0.4">
      <c r="A4" s="952"/>
      <c r="B4" s="953"/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  <c r="N4" s="952"/>
      <c r="O4" s="953"/>
      <c r="P4" s="953"/>
      <c r="Q4" s="953"/>
      <c r="R4" s="953"/>
      <c r="S4" s="953"/>
      <c r="T4" s="953"/>
      <c r="U4" s="953"/>
      <c r="V4" s="953"/>
      <c r="W4" s="953"/>
      <c r="X4" s="953"/>
      <c r="Y4" s="953"/>
      <c r="Z4" s="953"/>
      <c r="AA4" s="954"/>
      <c r="AB4" s="952"/>
      <c r="AC4" s="952"/>
      <c r="AD4" s="952"/>
      <c r="AE4" s="952"/>
      <c r="AF4" s="952"/>
      <c r="AG4" s="952"/>
      <c r="AH4" s="952"/>
      <c r="AI4" s="952"/>
      <c r="AJ4" s="952"/>
      <c r="AK4" s="952"/>
      <c r="AL4" s="952"/>
      <c r="AM4" s="952"/>
      <c r="AN4" s="954"/>
      <c r="AO4" s="952"/>
      <c r="AP4" s="952"/>
      <c r="AQ4" s="952"/>
      <c r="AR4" s="952"/>
      <c r="AS4" s="952"/>
      <c r="AT4" s="952"/>
      <c r="AU4" s="952"/>
      <c r="AV4" s="952"/>
      <c r="AW4" s="955"/>
      <c r="AX4" s="955"/>
      <c r="AY4" s="955"/>
      <c r="AZ4" s="955"/>
      <c r="BA4" s="955"/>
      <c r="BB4" s="955"/>
      <c r="BC4" s="955"/>
      <c r="BD4" s="955"/>
      <c r="BE4" s="955"/>
      <c r="BF4" s="955"/>
      <c r="BG4" s="955"/>
      <c r="BH4" s="955"/>
      <c r="BI4" s="955"/>
    </row>
    <row r="5" spans="1:61" s="961" customFormat="1" ht="55.5" customHeight="1" x14ac:dyDescent="0.7">
      <c r="A5" s="892"/>
      <c r="B5" s="1929" t="s">
        <v>610</v>
      </c>
      <c r="C5" s="1930"/>
      <c r="D5" s="1930"/>
      <c r="E5" s="1931"/>
      <c r="F5" s="1938" t="s">
        <v>613</v>
      </c>
      <c r="G5" s="1939"/>
      <c r="H5" s="1939"/>
      <c r="I5" s="1940"/>
      <c r="J5" s="1929" t="s">
        <v>1180</v>
      </c>
      <c r="K5" s="1930"/>
      <c r="L5" s="1930"/>
      <c r="M5" s="1931"/>
      <c r="N5" s="892"/>
      <c r="O5" s="1929" t="s">
        <v>620</v>
      </c>
      <c r="P5" s="1930"/>
      <c r="Q5" s="1930"/>
      <c r="R5" s="1931"/>
      <c r="S5" s="1929" t="s">
        <v>622</v>
      </c>
      <c r="T5" s="1930"/>
      <c r="U5" s="1930"/>
      <c r="V5" s="1931"/>
      <c r="W5" s="1929" t="s">
        <v>624</v>
      </c>
      <c r="X5" s="1930"/>
      <c r="Y5" s="1930"/>
      <c r="Z5" s="1931"/>
      <c r="AA5" s="959"/>
      <c r="AB5" s="1929" t="s">
        <v>162</v>
      </c>
      <c r="AC5" s="1930"/>
      <c r="AD5" s="1930"/>
      <c r="AE5" s="1931"/>
      <c r="AF5" s="1929" t="s">
        <v>630</v>
      </c>
      <c r="AG5" s="1930"/>
      <c r="AH5" s="1930"/>
      <c r="AI5" s="1931"/>
      <c r="AJ5" s="1929" t="s">
        <v>634</v>
      </c>
      <c r="AK5" s="1930"/>
      <c r="AL5" s="1930"/>
      <c r="AM5" s="1931"/>
      <c r="AN5" s="959"/>
      <c r="AO5" s="1929" t="s">
        <v>636</v>
      </c>
      <c r="AP5" s="1930"/>
      <c r="AQ5" s="1930"/>
      <c r="AR5" s="1931"/>
      <c r="AS5" s="1929" t="s">
        <v>1181</v>
      </c>
      <c r="AT5" s="1930"/>
      <c r="AU5" s="1930"/>
      <c r="AV5" s="1931"/>
      <c r="AW5" s="889"/>
      <c r="AX5" s="889"/>
      <c r="AY5" s="889"/>
      <c r="AZ5" s="889"/>
      <c r="BA5" s="889"/>
      <c r="BB5" s="960"/>
      <c r="BC5" s="960"/>
      <c r="BD5" s="960"/>
      <c r="BE5" s="960"/>
      <c r="BF5" s="960"/>
      <c r="BG5" s="960"/>
      <c r="BH5" s="960"/>
      <c r="BI5" s="960"/>
    </row>
    <row r="6" spans="1:61" s="961" customFormat="1" ht="54" customHeight="1" x14ac:dyDescent="0.7">
      <c r="A6" s="962"/>
      <c r="B6" s="1932"/>
      <c r="C6" s="1933"/>
      <c r="D6" s="1933"/>
      <c r="E6" s="1934"/>
      <c r="F6" s="1941"/>
      <c r="G6" s="1942"/>
      <c r="H6" s="1942"/>
      <c r="I6" s="1943"/>
      <c r="J6" s="1932"/>
      <c r="K6" s="1933"/>
      <c r="L6" s="1933"/>
      <c r="M6" s="1934"/>
      <c r="N6" s="962"/>
      <c r="O6" s="1932"/>
      <c r="P6" s="1933"/>
      <c r="Q6" s="1933"/>
      <c r="R6" s="1934"/>
      <c r="S6" s="1932"/>
      <c r="T6" s="1933"/>
      <c r="U6" s="1933"/>
      <c r="V6" s="1934"/>
      <c r="W6" s="1932"/>
      <c r="X6" s="1933"/>
      <c r="Y6" s="1933"/>
      <c r="Z6" s="1934"/>
      <c r="AA6" s="963"/>
      <c r="AB6" s="1932"/>
      <c r="AC6" s="1933"/>
      <c r="AD6" s="1933"/>
      <c r="AE6" s="1934"/>
      <c r="AF6" s="1932"/>
      <c r="AG6" s="1933"/>
      <c r="AH6" s="1933"/>
      <c r="AI6" s="1934"/>
      <c r="AJ6" s="1932"/>
      <c r="AK6" s="1933"/>
      <c r="AL6" s="1933"/>
      <c r="AM6" s="1934"/>
      <c r="AN6" s="963"/>
      <c r="AO6" s="1932"/>
      <c r="AP6" s="1933"/>
      <c r="AQ6" s="1933"/>
      <c r="AR6" s="1934"/>
      <c r="AS6" s="1932"/>
      <c r="AT6" s="1933"/>
      <c r="AU6" s="1933"/>
      <c r="AV6" s="1934"/>
      <c r="AW6" s="889"/>
      <c r="AX6" s="889"/>
      <c r="AY6" s="889"/>
      <c r="AZ6" s="889"/>
      <c r="BA6" s="889"/>
      <c r="BB6" s="960"/>
      <c r="BC6" s="960"/>
      <c r="BD6" s="960"/>
      <c r="BE6" s="960"/>
      <c r="BF6" s="960"/>
      <c r="BG6" s="960"/>
      <c r="BH6" s="960"/>
      <c r="BI6" s="960"/>
    </row>
    <row r="7" spans="1:61" s="965" customFormat="1" ht="106.5" customHeight="1" thickBot="1" x14ac:dyDescent="0.75">
      <c r="A7" s="895" t="s">
        <v>1137</v>
      </c>
      <c r="B7" s="1935"/>
      <c r="C7" s="1936"/>
      <c r="D7" s="1936"/>
      <c r="E7" s="1937"/>
      <c r="F7" s="1944"/>
      <c r="G7" s="1945"/>
      <c r="H7" s="1945"/>
      <c r="I7" s="1946"/>
      <c r="J7" s="1935"/>
      <c r="K7" s="1936"/>
      <c r="L7" s="1936"/>
      <c r="M7" s="1937"/>
      <c r="N7" s="895" t="s">
        <v>1137</v>
      </c>
      <c r="O7" s="1935"/>
      <c r="P7" s="1936"/>
      <c r="Q7" s="1936"/>
      <c r="R7" s="1937"/>
      <c r="S7" s="1935"/>
      <c r="T7" s="1936"/>
      <c r="U7" s="1936"/>
      <c r="V7" s="1937"/>
      <c r="W7" s="1935"/>
      <c r="X7" s="1936"/>
      <c r="Y7" s="1936"/>
      <c r="Z7" s="1937"/>
      <c r="AA7" s="895" t="s">
        <v>1137</v>
      </c>
      <c r="AB7" s="1935"/>
      <c r="AC7" s="1936"/>
      <c r="AD7" s="1936"/>
      <c r="AE7" s="1937"/>
      <c r="AF7" s="1935"/>
      <c r="AG7" s="1936"/>
      <c r="AH7" s="1936"/>
      <c r="AI7" s="1937"/>
      <c r="AJ7" s="1935"/>
      <c r="AK7" s="1936"/>
      <c r="AL7" s="1936"/>
      <c r="AM7" s="1937"/>
      <c r="AN7" s="895" t="s">
        <v>1137</v>
      </c>
      <c r="AO7" s="1935"/>
      <c r="AP7" s="1936"/>
      <c r="AQ7" s="1936"/>
      <c r="AR7" s="1937"/>
      <c r="AS7" s="1935"/>
      <c r="AT7" s="1936"/>
      <c r="AU7" s="1936"/>
      <c r="AV7" s="1937"/>
      <c r="AW7" s="897"/>
      <c r="AX7" s="897"/>
      <c r="AY7" s="897"/>
      <c r="AZ7" s="897"/>
      <c r="BA7" s="897"/>
      <c r="BB7" s="964"/>
      <c r="BC7" s="964"/>
      <c r="BD7" s="964"/>
      <c r="BE7" s="964"/>
      <c r="BF7" s="964"/>
      <c r="BG7" s="964"/>
      <c r="BH7" s="964"/>
      <c r="BI7" s="964"/>
    </row>
    <row r="8" spans="1:61" s="967" customFormat="1" ht="159" customHeight="1" thickBot="1" x14ac:dyDescent="0.75">
      <c r="A8" s="896">
        <v>2024</v>
      </c>
      <c r="B8" s="900" t="s">
        <v>1140</v>
      </c>
      <c r="C8" s="900" t="s">
        <v>1141</v>
      </c>
      <c r="D8" s="900" t="s">
        <v>83</v>
      </c>
      <c r="E8" s="900" t="s">
        <v>1182</v>
      </c>
      <c r="F8" s="900" t="s">
        <v>1140</v>
      </c>
      <c r="G8" s="900" t="s">
        <v>1141</v>
      </c>
      <c r="H8" s="900" t="s">
        <v>83</v>
      </c>
      <c r="I8" s="900" t="s">
        <v>1182</v>
      </c>
      <c r="J8" s="900" t="s">
        <v>1140</v>
      </c>
      <c r="K8" s="900" t="s">
        <v>1141</v>
      </c>
      <c r="L8" s="900" t="s">
        <v>83</v>
      </c>
      <c r="M8" s="900" t="s">
        <v>1182</v>
      </c>
      <c r="N8" s="896">
        <v>2024</v>
      </c>
      <c r="O8" s="900" t="s">
        <v>1140</v>
      </c>
      <c r="P8" s="900" t="s">
        <v>1141</v>
      </c>
      <c r="Q8" s="900" t="s">
        <v>83</v>
      </c>
      <c r="R8" s="900" t="s">
        <v>1182</v>
      </c>
      <c r="S8" s="900" t="s">
        <v>1140</v>
      </c>
      <c r="T8" s="900" t="s">
        <v>1141</v>
      </c>
      <c r="U8" s="900" t="s">
        <v>83</v>
      </c>
      <c r="V8" s="900" t="s">
        <v>1182</v>
      </c>
      <c r="W8" s="900" t="s">
        <v>1140</v>
      </c>
      <c r="X8" s="900" t="s">
        <v>1141</v>
      </c>
      <c r="Y8" s="900" t="s">
        <v>83</v>
      </c>
      <c r="Z8" s="900" t="s">
        <v>1182</v>
      </c>
      <c r="AA8" s="896">
        <v>2024</v>
      </c>
      <c r="AB8" s="900" t="s">
        <v>1140</v>
      </c>
      <c r="AC8" s="900" t="s">
        <v>1141</v>
      </c>
      <c r="AD8" s="900" t="s">
        <v>83</v>
      </c>
      <c r="AE8" s="900" t="s">
        <v>1182</v>
      </c>
      <c r="AF8" s="900" t="s">
        <v>1140</v>
      </c>
      <c r="AG8" s="900" t="s">
        <v>1141</v>
      </c>
      <c r="AH8" s="900" t="s">
        <v>83</v>
      </c>
      <c r="AI8" s="900" t="s">
        <v>1182</v>
      </c>
      <c r="AJ8" s="900" t="s">
        <v>1140</v>
      </c>
      <c r="AK8" s="900" t="s">
        <v>1141</v>
      </c>
      <c r="AL8" s="900" t="s">
        <v>83</v>
      </c>
      <c r="AM8" s="900" t="s">
        <v>1182</v>
      </c>
      <c r="AN8" s="896">
        <v>2024</v>
      </c>
      <c r="AO8" s="900" t="s">
        <v>1140</v>
      </c>
      <c r="AP8" s="900" t="s">
        <v>1141</v>
      </c>
      <c r="AQ8" s="900" t="s">
        <v>83</v>
      </c>
      <c r="AR8" s="900" t="s">
        <v>1182</v>
      </c>
      <c r="AS8" s="900" t="s">
        <v>1140</v>
      </c>
      <c r="AT8" s="900" t="s">
        <v>1141</v>
      </c>
      <c r="AU8" s="900" t="s">
        <v>83</v>
      </c>
      <c r="AV8" s="900" t="s">
        <v>1182</v>
      </c>
      <c r="AW8" s="897"/>
      <c r="AX8" s="897"/>
      <c r="AY8" s="897"/>
      <c r="AZ8" s="897"/>
      <c r="BA8" s="897"/>
      <c r="BB8" s="966"/>
      <c r="BC8" s="966"/>
      <c r="BD8" s="966"/>
      <c r="BE8" s="966"/>
      <c r="BF8" s="966"/>
      <c r="BG8" s="966"/>
      <c r="BH8" s="966"/>
      <c r="BI8" s="966"/>
    </row>
    <row r="9" spans="1:61" s="969" customFormat="1" ht="45.75" customHeight="1" x14ac:dyDescent="0.7">
      <c r="A9" s="901" t="s">
        <v>1143</v>
      </c>
      <c r="B9" s="902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1" t="s">
        <v>1143</v>
      </c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1" t="s">
        <v>1143</v>
      </c>
      <c r="AB9" s="901"/>
      <c r="AC9" s="901"/>
      <c r="AD9" s="901"/>
      <c r="AE9" s="901"/>
      <c r="AF9" s="901"/>
      <c r="AG9" s="901"/>
      <c r="AH9" s="901"/>
      <c r="AI9" s="901"/>
      <c r="AJ9" s="902"/>
      <c r="AK9" s="902"/>
      <c r="AL9" s="902"/>
      <c r="AM9" s="902"/>
      <c r="AN9" s="901" t="s">
        <v>1143</v>
      </c>
      <c r="AO9" s="901"/>
      <c r="AP9" s="901"/>
      <c r="AQ9" s="901"/>
      <c r="AR9" s="901"/>
      <c r="AS9" s="901"/>
      <c r="AT9" s="901"/>
      <c r="AU9" s="901"/>
      <c r="AV9" s="901"/>
      <c r="AW9" s="886"/>
      <c r="AX9" s="886"/>
      <c r="AY9" s="886"/>
      <c r="AZ9" s="886"/>
      <c r="BA9" s="886"/>
      <c r="BB9" s="968"/>
      <c r="BC9" s="968"/>
      <c r="BD9" s="968"/>
      <c r="BE9" s="968"/>
      <c r="BF9" s="968"/>
      <c r="BG9" s="968"/>
      <c r="BH9" s="968"/>
      <c r="BI9" s="968"/>
    </row>
    <row r="10" spans="1:61" s="969" customFormat="1" ht="49.5" customHeight="1" x14ac:dyDescent="0.7">
      <c r="A10" s="903" t="s">
        <v>1144</v>
      </c>
      <c r="B10" s="904">
        <f>'[4]int.kiadások RM I'!B10</f>
        <v>208896</v>
      </c>
      <c r="C10" s="904">
        <f>'[4]int.kiadások RM III'!D10</f>
        <v>209461</v>
      </c>
      <c r="D10" s="904">
        <v>201760</v>
      </c>
      <c r="E10" s="905">
        <f t="shared" ref="E10:E30" si="0">D10/C10</f>
        <v>0.96323420589035669</v>
      </c>
      <c r="F10" s="904">
        <f>'[4]int.kiadások RM I'!E10</f>
        <v>31081</v>
      </c>
      <c r="G10" s="904">
        <f>'[4]int.kiadások RM III'!G10</f>
        <v>31152</v>
      </c>
      <c r="H10" s="904">
        <v>27193</v>
      </c>
      <c r="I10" s="905">
        <f t="shared" ref="I10:I30" si="1">H10/G10</f>
        <v>0.87291345659989728</v>
      </c>
      <c r="J10" s="904">
        <f>'[4]int.kiadások RM I'!H10</f>
        <v>4810</v>
      </c>
      <c r="K10" s="904">
        <f>'[4]int.kiadások RM III'!J10</f>
        <v>6869</v>
      </c>
      <c r="L10" s="904">
        <v>6153</v>
      </c>
      <c r="M10" s="905">
        <f t="shared" ref="M10:M30" si="2">L10/K10</f>
        <v>0.89576357548405883</v>
      </c>
      <c r="N10" s="903" t="s">
        <v>1144</v>
      </c>
      <c r="O10" s="904">
        <f>'[4]int.kiadások RM I'!L10</f>
        <v>0</v>
      </c>
      <c r="P10" s="904">
        <f>'[4]int.kiadások RM III'!N10</f>
        <v>0</v>
      </c>
      <c r="Q10" s="904"/>
      <c r="R10" s="905"/>
      <c r="S10" s="904">
        <f>'[4]int.kiadások RM I'!O10</f>
        <v>0</v>
      </c>
      <c r="T10" s="904">
        <f>'[4]int.kiadások RM III'!Q10</f>
        <v>0</v>
      </c>
      <c r="U10" s="904"/>
      <c r="V10" s="905"/>
      <c r="W10" s="906">
        <f t="shared" ref="W10:Y27" si="3">B10+F10+J10+O10+S10</f>
        <v>244787</v>
      </c>
      <c r="X10" s="906">
        <f t="shared" si="3"/>
        <v>247482</v>
      </c>
      <c r="Y10" s="906">
        <f t="shared" si="3"/>
        <v>235106</v>
      </c>
      <c r="Z10" s="907">
        <f t="shared" ref="Z10:Z30" si="4">Y10/X10</f>
        <v>0.94999232267397227</v>
      </c>
      <c r="AA10" s="903" t="s">
        <v>1144</v>
      </c>
      <c r="AB10" s="904">
        <f>'[4]int.kiadások RM I'!V10</f>
        <v>0</v>
      </c>
      <c r="AC10" s="904">
        <f>'[4]int.kiadások RM III'!X10</f>
        <v>1779</v>
      </c>
      <c r="AD10" s="904">
        <v>1778</v>
      </c>
      <c r="AE10" s="905">
        <f t="shared" ref="AE10:AE30" si="5">AD10/AC10</f>
        <v>0.99943788645306353</v>
      </c>
      <c r="AF10" s="904">
        <f>'[4]int.kiadások RM I'!Y10</f>
        <v>0</v>
      </c>
      <c r="AG10" s="904">
        <f>'[4]int.kiadások RM III'!AA10</f>
        <v>1694</v>
      </c>
      <c r="AH10" s="904">
        <v>1693</v>
      </c>
      <c r="AI10" s="905">
        <f>AH10/AG10</f>
        <v>0.999409681227863</v>
      </c>
      <c r="AJ10" s="904">
        <f>'[4]int.kiadások RM I'!AB10</f>
        <v>0</v>
      </c>
      <c r="AK10" s="904">
        <f>'[4]int.kiadások RM III'!AD10</f>
        <v>0</v>
      </c>
      <c r="AL10" s="904"/>
      <c r="AM10" s="905"/>
      <c r="AN10" s="903" t="s">
        <v>1144</v>
      </c>
      <c r="AO10" s="906">
        <f t="shared" ref="AO10:AQ27" si="6">AB10+AF10+AJ10</f>
        <v>0</v>
      </c>
      <c r="AP10" s="906">
        <f t="shared" si="6"/>
        <v>3473</v>
      </c>
      <c r="AQ10" s="906">
        <f t="shared" si="6"/>
        <v>3471</v>
      </c>
      <c r="AR10" s="907">
        <f t="shared" ref="AR10:AR30" si="7">AQ10/AP10</f>
        <v>0.99942412899510513</v>
      </c>
      <c r="AS10" s="906">
        <f t="shared" ref="AS10:AU27" si="8">W10+AO10</f>
        <v>244787</v>
      </c>
      <c r="AT10" s="906">
        <f t="shared" si="8"/>
        <v>250955</v>
      </c>
      <c r="AU10" s="906">
        <f t="shared" si="8"/>
        <v>238577</v>
      </c>
      <c r="AV10" s="907">
        <f t="shared" ref="AV10:AV30" si="9">AU10/AT10</f>
        <v>0.9506764160905341</v>
      </c>
      <c r="AW10" s="886"/>
      <c r="AX10" s="886"/>
      <c r="AY10" s="886"/>
      <c r="AZ10" s="886"/>
      <c r="BA10" s="886"/>
      <c r="BB10" s="968"/>
      <c r="BC10" s="968"/>
      <c r="BD10" s="968"/>
      <c r="BE10" s="968"/>
      <c r="BF10" s="968"/>
      <c r="BG10" s="968"/>
      <c r="BH10" s="968"/>
      <c r="BI10" s="968"/>
    </row>
    <row r="11" spans="1:61" s="969" customFormat="1" ht="49.5" customHeight="1" x14ac:dyDescent="0.7">
      <c r="A11" s="903" t="s">
        <v>1145</v>
      </c>
      <c r="B11" s="904">
        <f>'[4]int.kiadások RM I'!B11</f>
        <v>138357</v>
      </c>
      <c r="C11" s="904">
        <f>'[4]int.kiadások RM III'!D11</f>
        <v>144440</v>
      </c>
      <c r="D11" s="904">
        <v>139078</v>
      </c>
      <c r="E11" s="905">
        <f t="shared" si="0"/>
        <v>0.96287731930213238</v>
      </c>
      <c r="F11" s="904">
        <f>'[4]int.kiadások RM I'!E11</f>
        <v>17978</v>
      </c>
      <c r="G11" s="904">
        <f>'[4]int.kiadások RM III'!G11</f>
        <v>18628</v>
      </c>
      <c r="H11" s="904">
        <v>17012</v>
      </c>
      <c r="I11" s="905">
        <f t="shared" si="1"/>
        <v>0.9132488726648057</v>
      </c>
      <c r="J11" s="904">
        <f>'[4]int.kiadások RM I'!H11</f>
        <v>2583</v>
      </c>
      <c r="K11" s="904">
        <f>'[4]int.kiadások RM III'!J11</f>
        <v>5494</v>
      </c>
      <c r="L11" s="904">
        <v>4876</v>
      </c>
      <c r="M11" s="905">
        <f t="shared" si="2"/>
        <v>0.88751365125591553</v>
      </c>
      <c r="N11" s="903" t="s">
        <v>1145</v>
      </c>
      <c r="O11" s="904">
        <f>'[4]int.kiadások RM I'!L11</f>
        <v>0</v>
      </c>
      <c r="P11" s="904">
        <f>'[4]int.kiadások RM III'!N11</f>
        <v>0</v>
      </c>
      <c r="Q11" s="904"/>
      <c r="R11" s="905"/>
      <c r="S11" s="904">
        <f>'[4]int.kiadások RM I'!O11</f>
        <v>0</v>
      </c>
      <c r="T11" s="904">
        <f>'[4]int.kiadások RM III'!Q11</f>
        <v>0</v>
      </c>
      <c r="U11" s="904"/>
      <c r="V11" s="905"/>
      <c r="W11" s="906">
        <f t="shared" si="3"/>
        <v>158918</v>
      </c>
      <c r="X11" s="906">
        <f t="shared" si="3"/>
        <v>168562</v>
      </c>
      <c r="Y11" s="906">
        <f t="shared" si="3"/>
        <v>160966</v>
      </c>
      <c r="Z11" s="907">
        <f t="shared" si="4"/>
        <v>0.95493646254790521</v>
      </c>
      <c r="AA11" s="903" t="s">
        <v>1145</v>
      </c>
      <c r="AB11" s="904">
        <f>'[4]int.kiadások RM I'!V11</f>
        <v>0</v>
      </c>
      <c r="AC11" s="904">
        <f>'[4]int.kiadások RM III'!X11</f>
        <v>845</v>
      </c>
      <c r="AD11" s="904">
        <v>844</v>
      </c>
      <c r="AE11" s="905">
        <f t="shared" si="5"/>
        <v>0.99881656804733732</v>
      </c>
      <c r="AF11" s="904">
        <f>'[4]int.kiadások RM I'!Y11</f>
        <v>0</v>
      </c>
      <c r="AG11" s="904">
        <f>'[4]int.kiadások RM III'!AA11</f>
        <v>0</v>
      </c>
      <c r="AH11" s="904"/>
      <c r="AI11" s="905"/>
      <c r="AJ11" s="904">
        <f>'[4]int.kiadások RM I'!AB11</f>
        <v>0</v>
      </c>
      <c r="AK11" s="904">
        <f>'[4]int.kiadások RM III'!AD11</f>
        <v>0</v>
      </c>
      <c r="AL11" s="904"/>
      <c r="AM11" s="905"/>
      <c r="AN11" s="903" t="s">
        <v>1145</v>
      </c>
      <c r="AO11" s="906">
        <f t="shared" si="6"/>
        <v>0</v>
      </c>
      <c r="AP11" s="906">
        <f t="shared" si="6"/>
        <v>845</v>
      </c>
      <c r="AQ11" s="906">
        <f t="shared" si="6"/>
        <v>844</v>
      </c>
      <c r="AR11" s="907">
        <f t="shared" si="7"/>
        <v>0.99881656804733732</v>
      </c>
      <c r="AS11" s="906">
        <f t="shared" si="8"/>
        <v>158918</v>
      </c>
      <c r="AT11" s="906">
        <f t="shared" si="8"/>
        <v>169407</v>
      </c>
      <c r="AU11" s="906">
        <f t="shared" si="8"/>
        <v>161810</v>
      </c>
      <c r="AV11" s="907">
        <f t="shared" si="9"/>
        <v>0.95515533596604629</v>
      </c>
      <c r="AW11" s="886"/>
      <c r="AX11" s="886"/>
      <c r="AY11" s="886"/>
      <c r="AZ11" s="886"/>
      <c r="BA11" s="886"/>
      <c r="BB11" s="968"/>
      <c r="BC11" s="968"/>
      <c r="BD11" s="968"/>
      <c r="BE11" s="968"/>
      <c r="BF11" s="968"/>
      <c r="BG11" s="968"/>
      <c r="BH11" s="968"/>
      <c r="BI11" s="968"/>
    </row>
    <row r="12" spans="1:61" s="969" customFormat="1" ht="49.5" customHeight="1" x14ac:dyDescent="0.7">
      <c r="A12" s="903" t="s">
        <v>1146</v>
      </c>
      <c r="B12" s="904">
        <f>'[4]int.kiadások RM I'!B12</f>
        <v>153949</v>
      </c>
      <c r="C12" s="904">
        <f>'[4]int.kiadások RM III'!D12</f>
        <v>155678</v>
      </c>
      <c r="D12" s="904">
        <v>148871</v>
      </c>
      <c r="E12" s="905">
        <f t="shared" si="0"/>
        <v>0.95627513200323744</v>
      </c>
      <c r="F12" s="904">
        <f>'[4]int.kiadások RM I'!E12</f>
        <v>20266</v>
      </c>
      <c r="G12" s="904">
        <f>'[4]int.kiadások RM III'!G12</f>
        <v>20476</v>
      </c>
      <c r="H12" s="904">
        <v>18658</v>
      </c>
      <c r="I12" s="905">
        <f t="shared" si="1"/>
        <v>0.91121312756397732</v>
      </c>
      <c r="J12" s="904">
        <f>'[4]int.kiadások RM I'!H12</f>
        <v>3136</v>
      </c>
      <c r="K12" s="904">
        <f>'[4]int.kiadások RM III'!J12</f>
        <v>6008</v>
      </c>
      <c r="L12" s="904">
        <v>6004</v>
      </c>
      <c r="M12" s="905">
        <f t="shared" si="2"/>
        <v>0.99933422103861513</v>
      </c>
      <c r="N12" s="903" t="s">
        <v>1146</v>
      </c>
      <c r="O12" s="904">
        <f>'[4]int.kiadások RM I'!L12</f>
        <v>0</v>
      </c>
      <c r="P12" s="904">
        <f>'[4]int.kiadások RM III'!N12</f>
        <v>0</v>
      </c>
      <c r="Q12" s="904"/>
      <c r="R12" s="905"/>
      <c r="S12" s="904">
        <f>'[4]int.kiadások RM I'!O12</f>
        <v>0</v>
      </c>
      <c r="T12" s="904">
        <f>'[4]int.kiadások RM III'!Q12</f>
        <v>0</v>
      </c>
      <c r="U12" s="904"/>
      <c r="V12" s="905"/>
      <c r="W12" s="906">
        <f t="shared" si="3"/>
        <v>177351</v>
      </c>
      <c r="X12" s="906">
        <f t="shared" si="3"/>
        <v>182162</v>
      </c>
      <c r="Y12" s="906">
        <f t="shared" si="3"/>
        <v>173533</v>
      </c>
      <c r="Z12" s="907">
        <f t="shared" si="4"/>
        <v>0.95263007652529064</v>
      </c>
      <c r="AA12" s="903" t="s">
        <v>1146</v>
      </c>
      <c r="AB12" s="904">
        <f>'[4]int.kiadások RM I'!V12</f>
        <v>0</v>
      </c>
      <c r="AC12" s="904">
        <f>'[4]int.kiadások RM III'!X12</f>
        <v>554</v>
      </c>
      <c r="AD12" s="904">
        <v>553</v>
      </c>
      <c r="AE12" s="905">
        <f t="shared" si="5"/>
        <v>0.99819494584837543</v>
      </c>
      <c r="AF12" s="904">
        <f>'[4]int.kiadások RM I'!Y12</f>
        <v>0</v>
      </c>
      <c r="AG12" s="904">
        <f>'[4]int.kiadások RM III'!AA12</f>
        <v>0</v>
      </c>
      <c r="AH12" s="904"/>
      <c r="AI12" s="905"/>
      <c r="AJ12" s="904">
        <f>'[4]int.kiadások RM I'!AB12</f>
        <v>0</v>
      </c>
      <c r="AK12" s="904">
        <f>'[4]int.kiadások RM III'!AD12</f>
        <v>0</v>
      </c>
      <c r="AL12" s="904"/>
      <c r="AM12" s="905"/>
      <c r="AN12" s="903" t="s">
        <v>1146</v>
      </c>
      <c r="AO12" s="906">
        <f t="shared" si="6"/>
        <v>0</v>
      </c>
      <c r="AP12" s="906">
        <f t="shared" si="6"/>
        <v>554</v>
      </c>
      <c r="AQ12" s="906">
        <f t="shared" si="6"/>
        <v>553</v>
      </c>
      <c r="AR12" s="907">
        <f t="shared" si="7"/>
        <v>0.99819494584837543</v>
      </c>
      <c r="AS12" s="906">
        <f t="shared" si="8"/>
        <v>177351</v>
      </c>
      <c r="AT12" s="906">
        <f t="shared" si="8"/>
        <v>182716</v>
      </c>
      <c r="AU12" s="906">
        <f t="shared" si="8"/>
        <v>174086</v>
      </c>
      <c r="AV12" s="907">
        <f t="shared" si="9"/>
        <v>0.95276823047790016</v>
      </c>
      <c r="AW12" s="886"/>
      <c r="AX12" s="886"/>
      <c r="AY12" s="886"/>
      <c r="AZ12" s="886"/>
      <c r="BA12" s="886"/>
      <c r="BB12" s="968"/>
      <c r="BC12" s="968"/>
      <c r="BD12" s="968"/>
      <c r="BE12" s="968"/>
      <c r="BF12" s="968"/>
      <c r="BG12" s="968"/>
      <c r="BH12" s="968"/>
      <c r="BI12" s="968"/>
    </row>
    <row r="13" spans="1:61" s="969" customFormat="1" ht="49.5" customHeight="1" x14ac:dyDescent="0.7">
      <c r="A13" s="903" t="s">
        <v>1147</v>
      </c>
      <c r="B13" s="904">
        <f>'[4]int.kiadások RM I'!B13</f>
        <v>169606</v>
      </c>
      <c r="C13" s="904">
        <f>'[4]int.kiadások RM III'!D13</f>
        <v>172808</v>
      </c>
      <c r="D13" s="904">
        <v>168904</v>
      </c>
      <c r="E13" s="905">
        <f t="shared" si="0"/>
        <v>0.9774084533123466</v>
      </c>
      <c r="F13" s="904">
        <f>'[4]int.kiadások RM I'!E13</f>
        <v>25558</v>
      </c>
      <c r="G13" s="904">
        <f>'[4]int.kiadások RM III'!G13</f>
        <v>25868</v>
      </c>
      <c r="H13" s="904">
        <v>21699</v>
      </c>
      <c r="I13" s="905">
        <f t="shared" si="1"/>
        <v>0.83883562702953451</v>
      </c>
      <c r="J13" s="904">
        <f>'[4]int.kiadások RM I'!H13</f>
        <v>3429</v>
      </c>
      <c r="K13" s="904">
        <f>'[4]int.kiadások RM III'!J13</f>
        <v>4667</v>
      </c>
      <c r="L13" s="904">
        <v>4666</v>
      </c>
      <c r="M13" s="905">
        <f t="shared" si="2"/>
        <v>0.99978572959074352</v>
      </c>
      <c r="N13" s="903" t="s">
        <v>1147</v>
      </c>
      <c r="O13" s="904">
        <f>'[4]int.kiadások RM I'!L13</f>
        <v>0</v>
      </c>
      <c r="P13" s="904">
        <f>'[4]int.kiadások RM III'!N13</f>
        <v>0</v>
      </c>
      <c r="Q13" s="904"/>
      <c r="R13" s="905"/>
      <c r="S13" s="904">
        <f>'[4]int.kiadások RM I'!O13</f>
        <v>0</v>
      </c>
      <c r="T13" s="904">
        <f>'[4]int.kiadások RM III'!Q13</f>
        <v>0</v>
      </c>
      <c r="U13" s="904"/>
      <c r="V13" s="905"/>
      <c r="W13" s="906">
        <f t="shared" si="3"/>
        <v>198593</v>
      </c>
      <c r="X13" s="906">
        <f t="shared" si="3"/>
        <v>203343</v>
      </c>
      <c r="Y13" s="906">
        <f t="shared" si="3"/>
        <v>195269</v>
      </c>
      <c r="Z13" s="907">
        <f t="shared" si="4"/>
        <v>0.96029369095567585</v>
      </c>
      <c r="AA13" s="903" t="s">
        <v>1147</v>
      </c>
      <c r="AB13" s="904">
        <f>'[4]int.kiadások RM I'!V13</f>
        <v>0</v>
      </c>
      <c r="AC13" s="904">
        <f>'[4]int.kiadások RM III'!X13</f>
        <v>0</v>
      </c>
      <c r="AD13" s="904"/>
      <c r="AE13" s="905"/>
      <c r="AF13" s="904">
        <f>'[4]int.kiadások RM I'!Y13</f>
        <v>0</v>
      </c>
      <c r="AG13" s="904">
        <f>'[4]int.kiadások RM III'!AA13</f>
        <v>0</v>
      </c>
      <c r="AH13" s="904"/>
      <c r="AI13" s="905"/>
      <c r="AJ13" s="904">
        <f>'[4]int.kiadások RM I'!AB13</f>
        <v>0</v>
      </c>
      <c r="AK13" s="904">
        <f>'[4]int.kiadások RM III'!AD13</f>
        <v>0</v>
      </c>
      <c r="AL13" s="904"/>
      <c r="AM13" s="905"/>
      <c r="AN13" s="903" t="s">
        <v>1147</v>
      </c>
      <c r="AO13" s="906">
        <f t="shared" si="6"/>
        <v>0</v>
      </c>
      <c r="AP13" s="906">
        <f t="shared" si="6"/>
        <v>0</v>
      </c>
      <c r="AQ13" s="906">
        <f t="shared" si="6"/>
        <v>0</v>
      </c>
      <c r="AR13" s="907"/>
      <c r="AS13" s="906">
        <f t="shared" si="8"/>
        <v>198593</v>
      </c>
      <c r="AT13" s="906">
        <f t="shared" si="8"/>
        <v>203343</v>
      </c>
      <c r="AU13" s="906">
        <f>Y13+AQ13</f>
        <v>195269</v>
      </c>
      <c r="AV13" s="907">
        <f t="shared" si="9"/>
        <v>0.96029369095567585</v>
      </c>
      <c r="AW13" s="886"/>
      <c r="AX13" s="886"/>
      <c r="AY13" s="886"/>
      <c r="AZ13" s="886"/>
      <c r="BA13" s="886"/>
      <c r="BB13" s="968"/>
      <c r="BC13" s="968"/>
      <c r="BD13" s="968"/>
      <c r="BE13" s="968"/>
      <c r="BF13" s="968"/>
      <c r="BG13" s="968"/>
      <c r="BH13" s="968"/>
      <c r="BI13" s="968"/>
    </row>
    <row r="14" spans="1:61" s="969" customFormat="1" ht="49.5" customHeight="1" x14ac:dyDescent="0.7">
      <c r="A14" s="903" t="s">
        <v>1148</v>
      </c>
      <c r="B14" s="904">
        <f>'[4]int.kiadások RM I'!B14</f>
        <v>164253</v>
      </c>
      <c r="C14" s="904">
        <f>'[4]int.kiadások RM III'!D14</f>
        <v>168181</v>
      </c>
      <c r="D14" s="904">
        <v>165407</v>
      </c>
      <c r="E14" s="905">
        <f t="shared" si="0"/>
        <v>0.9835058657042115</v>
      </c>
      <c r="F14" s="904">
        <f>'[4]int.kiadások RM I'!E14</f>
        <v>24454</v>
      </c>
      <c r="G14" s="904">
        <f>'[4]int.kiadások RM III'!G14</f>
        <v>24857</v>
      </c>
      <c r="H14" s="904">
        <v>22040</v>
      </c>
      <c r="I14" s="905">
        <f t="shared" si="1"/>
        <v>0.88667176248139357</v>
      </c>
      <c r="J14" s="904">
        <f>'[4]int.kiadások RM I'!H14</f>
        <v>3036</v>
      </c>
      <c r="K14" s="904">
        <f>'[4]int.kiadások RM III'!J14</f>
        <v>6261</v>
      </c>
      <c r="L14" s="904">
        <v>6065</v>
      </c>
      <c r="M14" s="905">
        <f t="shared" si="2"/>
        <v>0.96869509662993136</v>
      </c>
      <c r="N14" s="903" t="s">
        <v>1148</v>
      </c>
      <c r="O14" s="904">
        <f>'[4]int.kiadások RM I'!L14</f>
        <v>0</v>
      </c>
      <c r="P14" s="904">
        <f>'[4]int.kiadások RM III'!N14</f>
        <v>0</v>
      </c>
      <c r="Q14" s="904"/>
      <c r="R14" s="905"/>
      <c r="S14" s="904">
        <f>'[4]int.kiadások RM I'!O14</f>
        <v>0</v>
      </c>
      <c r="T14" s="904">
        <f>'[4]int.kiadások RM III'!Q14</f>
        <v>0</v>
      </c>
      <c r="U14" s="904"/>
      <c r="V14" s="905"/>
      <c r="W14" s="906">
        <f t="shared" si="3"/>
        <v>191743</v>
      </c>
      <c r="X14" s="906">
        <f t="shared" si="3"/>
        <v>199299</v>
      </c>
      <c r="Y14" s="906">
        <f t="shared" si="3"/>
        <v>193512</v>
      </c>
      <c r="Z14" s="907">
        <f t="shared" si="4"/>
        <v>0.97096322610750685</v>
      </c>
      <c r="AA14" s="903" t="s">
        <v>1148</v>
      </c>
      <c r="AB14" s="904">
        <f>'[4]int.kiadások RM I'!V14</f>
        <v>0</v>
      </c>
      <c r="AC14" s="904">
        <f>'[4]int.kiadások RM III'!X14</f>
        <v>1146</v>
      </c>
      <c r="AD14" s="904">
        <v>1144</v>
      </c>
      <c r="AE14" s="905">
        <f t="shared" si="5"/>
        <v>0.99825479930191974</v>
      </c>
      <c r="AF14" s="904">
        <f>'[4]int.kiadások RM I'!Y14</f>
        <v>0</v>
      </c>
      <c r="AG14" s="904">
        <f>'[4]int.kiadások RM III'!AA14</f>
        <v>0</v>
      </c>
      <c r="AH14" s="904"/>
      <c r="AI14" s="905"/>
      <c r="AJ14" s="904">
        <f>'[4]int.kiadások RM I'!AB14</f>
        <v>0</v>
      </c>
      <c r="AK14" s="904">
        <f>'[4]int.kiadások RM III'!AD14</f>
        <v>0</v>
      </c>
      <c r="AL14" s="904"/>
      <c r="AM14" s="905"/>
      <c r="AN14" s="903" t="s">
        <v>1148</v>
      </c>
      <c r="AO14" s="906">
        <f t="shared" si="6"/>
        <v>0</v>
      </c>
      <c r="AP14" s="906">
        <f t="shared" si="6"/>
        <v>1146</v>
      </c>
      <c r="AQ14" s="906">
        <f t="shared" si="6"/>
        <v>1144</v>
      </c>
      <c r="AR14" s="907">
        <f t="shared" si="7"/>
        <v>0.99825479930191974</v>
      </c>
      <c r="AS14" s="906">
        <f t="shared" si="8"/>
        <v>191743</v>
      </c>
      <c r="AT14" s="906">
        <f t="shared" si="8"/>
        <v>200445</v>
      </c>
      <c r="AU14" s="906">
        <f t="shared" si="8"/>
        <v>194656</v>
      </c>
      <c r="AV14" s="907">
        <f t="shared" si="9"/>
        <v>0.97111925964728474</v>
      </c>
      <c r="AW14" s="886"/>
      <c r="AX14" s="886"/>
      <c r="AY14" s="886"/>
      <c r="AZ14" s="886"/>
      <c r="BA14" s="886"/>
      <c r="BB14" s="968"/>
      <c r="BC14" s="968"/>
      <c r="BD14" s="968"/>
      <c r="BE14" s="968"/>
      <c r="BF14" s="968"/>
      <c r="BG14" s="968"/>
      <c r="BH14" s="968"/>
      <c r="BI14" s="968"/>
    </row>
    <row r="15" spans="1:61" s="969" customFormat="1" ht="49.5" customHeight="1" x14ac:dyDescent="0.7">
      <c r="A15" s="903" t="s">
        <v>1149</v>
      </c>
      <c r="B15" s="904">
        <f>'[4]int.kiadások RM I'!B15</f>
        <v>147777</v>
      </c>
      <c r="C15" s="904">
        <f>'[4]int.kiadások RM III'!D15</f>
        <v>150742</v>
      </c>
      <c r="D15" s="904">
        <v>146235</v>
      </c>
      <c r="E15" s="905">
        <f t="shared" si="0"/>
        <v>0.97010123256955594</v>
      </c>
      <c r="F15" s="904">
        <f>'[4]int.kiadások RM I'!E15</f>
        <v>19496</v>
      </c>
      <c r="G15" s="904">
        <f>'[4]int.kiadások RM III'!G15</f>
        <v>19771</v>
      </c>
      <c r="H15" s="904">
        <v>17058</v>
      </c>
      <c r="I15" s="905">
        <f t="shared" si="1"/>
        <v>0.86277881745991603</v>
      </c>
      <c r="J15" s="904">
        <f>'[4]int.kiadások RM I'!H15</f>
        <v>2711</v>
      </c>
      <c r="K15" s="904">
        <f>'[4]int.kiadások RM III'!J15</f>
        <v>5206</v>
      </c>
      <c r="L15" s="904">
        <v>3796</v>
      </c>
      <c r="M15" s="905">
        <f t="shared" si="2"/>
        <v>0.72915866308106037</v>
      </c>
      <c r="N15" s="903" t="s">
        <v>1149</v>
      </c>
      <c r="O15" s="904">
        <f>'[4]int.kiadások RM I'!L15</f>
        <v>0</v>
      </c>
      <c r="P15" s="904">
        <f>'[4]int.kiadások RM III'!N15</f>
        <v>0</v>
      </c>
      <c r="Q15" s="904"/>
      <c r="R15" s="905"/>
      <c r="S15" s="904">
        <f>'[4]int.kiadások RM I'!O15</f>
        <v>0</v>
      </c>
      <c r="T15" s="904">
        <f>'[4]int.kiadások RM III'!Q15</f>
        <v>0</v>
      </c>
      <c r="U15" s="904"/>
      <c r="V15" s="905"/>
      <c r="W15" s="906">
        <f t="shared" si="3"/>
        <v>169984</v>
      </c>
      <c r="X15" s="906">
        <f t="shared" si="3"/>
        <v>175719</v>
      </c>
      <c r="Y15" s="906">
        <f t="shared" si="3"/>
        <v>167089</v>
      </c>
      <c r="Z15" s="907">
        <f t="shared" si="4"/>
        <v>0.95088749651432114</v>
      </c>
      <c r="AA15" s="903" t="s">
        <v>1149</v>
      </c>
      <c r="AB15" s="904">
        <f>'[4]int.kiadások RM I'!V15</f>
        <v>0</v>
      </c>
      <c r="AC15" s="904">
        <f>'[4]int.kiadások RM III'!X15</f>
        <v>3326</v>
      </c>
      <c r="AD15" s="904">
        <v>3325</v>
      </c>
      <c r="AE15" s="905">
        <f t="shared" si="5"/>
        <v>0.99969933854479853</v>
      </c>
      <c r="AF15" s="904">
        <f>'[4]int.kiadások RM I'!Y15</f>
        <v>0</v>
      </c>
      <c r="AG15" s="904">
        <f>'[4]int.kiadások RM III'!AA15</f>
        <v>0</v>
      </c>
      <c r="AH15" s="904"/>
      <c r="AI15" s="905"/>
      <c r="AJ15" s="904">
        <f>'[4]int.kiadások RM I'!AB15</f>
        <v>0</v>
      </c>
      <c r="AK15" s="904">
        <f>'[4]int.kiadások RM III'!AD15</f>
        <v>0</v>
      </c>
      <c r="AL15" s="904"/>
      <c r="AM15" s="905"/>
      <c r="AN15" s="903" t="s">
        <v>1149</v>
      </c>
      <c r="AO15" s="906">
        <f t="shared" si="6"/>
        <v>0</v>
      </c>
      <c r="AP15" s="906">
        <f t="shared" si="6"/>
        <v>3326</v>
      </c>
      <c r="AQ15" s="906">
        <f t="shared" si="6"/>
        <v>3325</v>
      </c>
      <c r="AR15" s="907">
        <f t="shared" si="7"/>
        <v>0.99969933854479853</v>
      </c>
      <c r="AS15" s="906">
        <f t="shared" si="8"/>
        <v>169984</v>
      </c>
      <c r="AT15" s="906">
        <f t="shared" si="8"/>
        <v>179045</v>
      </c>
      <c r="AU15" s="906">
        <f t="shared" si="8"/>
        <v>170414</v>
      </c>
      <c r="AV15" s="907">
        <f t="shared" si="9"/>
        <v>0.95179424167108828</v>
      </c>
      <c r="AW15" s="886"/>
      <c r="AX15" s="886"/>
      <c r="AY15" s="886"/>
      <c r="AZ15" s="886"/>
      <c r="BA15" s="886"/>
      <c r="BB15" s="968"/>
      <c r="BC15" s="968"/>
      <c r="BD15" s="968"/>
      <c r="BE15" s="968"/>
      <c r="BF15" s="968"/>
      <c r="BG15" s="968"/>
      <c r="BH15" s="968"/>
      <c r="BI15" s="968"/>
    </row>
    <row r="16" spans="1:61" s="969" customFormat="1" ht="49.5" customHeight="1" x14ac:dyDescent="0.7">
      <c r="A16" s="903" t="s">
        <v>1150</v>
      </c>
      <c r="B16" s="904">
        <f>'[4]int.kiadások RM I'!B16</f>
        <v>116079</v>
      </c>
      <c r="C16" s="904">
        <f>'[4]int.kiadások RM III'!D16</f>
        <v>119182</v>
      </c>
      <c r="D16" s="904">
        <v>117250</v>
      </c>
      <c r="E16" s="905">
        <f t="shared" si="0"/>
        <v>0.98378949841419006</v>
      </c>
      <c r="F16" s="904">
        <f>'[4]int.kiadások RM I'!E16</f>
        <v>15148</v>
      </c>
      <c r="G16" s="904">
        <f>'[4]int.kiadások RM III'!G16</f>
        <v>15538</v>
      </c>
      <c r="H16" s="904">
        <v>14662</v>
      </c>
      <c r="I16" s="905">
        <f t="shared" si="1"/>
        <v>0.94362208778478573</v>
      </c>
      <c r="J16" s="904">
        <f>'[4]int.kiadások RM I'!H16</f>
        <v>2815</v>
      </c>
      <c r="K16" s="904">
        <f>'[4]int.kiadások RM III'!J16</f>
        <v>5532</v>
      </c>
      <c r="L16" s="904">
        <v>4907</v>
      </c>
      <c r="M16" s="905">
        <f t="shared" si="2"/>
        <v>0.88702096890817062</v>
      </c>
      <c r="N16" s="903" t="s">
        <v>1150</v>
      </c>
      <c r="O16" s="904">
        <f>'[4]int.kiadások RM I'!L16</f>
        <v>0</v>
      </c>
      <c r="P16" s="904">
        <f>'[4]int.kiadások RM III'!N16</f>
        <v>0</v>
      </c>
      <c r="Q16" s="904"/>
      <c r="R16" s="905"/>
      <c r="S16" s="904">
        <f>'[4]int.kiadások RM I'!O16</f>
        <v>0</v>
      </c>
      <c r="T16" s="904">
        <f>'[4]int.kiadások RM III'!Q16</f>
        <v>0</v>
      </c>
      <c r="U16" s="904"/>
      <c r="V16" s="905"/>
      <c r="W16" s="906">
        <f t="shared" si="3"/>
        <v>134042</v>
      </c>
      <c r="X16" s="906">
        <f t="shared" si="3"/>
        <v>140252</v>
      </c>
      <c r="Y16" s="906">
        <f t="shared" si="3"/>
        <v>136819</v>
      </c>
      <c r="Z16" s="907">
        <f t="shared" si="4"/>
        <v>0.97552263069332346</v>
      </c>
      <c r="AA16" s="903" t="s">
        <v>1150</v>
      </c>
      <c r="AB16" s="904">
        <f>'[4]int.kiadások RM I'!V16</f>
        <v>0</v>
      </c>
      <c r="AC16" s="904">
        <f>'[4]int.kiadások RM III'!X16</f>
        <v>204</v>
      </c>
      <c r="AD16" s="904">
        <v>203</v>
      </c>
      <c r="AE16" s="905">
        <f t="shared" si="5"/>
        <v>0.99509803921568629</v>
      </c>
      <c r="AF16" s="904">
        <f>'[4]int.kiadások RM I'!Y16</f>
        <v>0</v>
      </c>
      <c r="AG16" s="904">
        <f>'[4]int.kiadások RM III'!AA16</f>
        <v>0</v>
      </c>
      <c r="AH16" s="904"/>
      <c r="AI16" s="905"/>
      <c r="AJ16" s="904">
        <f>'[4]int.kiadások RM I'!AB16</f>
        <v>0</v>
      </c>
      <c r="AK16" s="904">
        <f>'[4]int.kiadások RM III'!AD16</f>
        <v>0</v>
      </c>
      <c r="AL16" s="904"/>
      <c r="AM16" s="905"/>
      <c r="AN16" s="903" t="s">
        <v>1150</v>
      </c>
      <c r="AO16" s="906">
        <f t="shared" si="6"/>
        <v>0</v>
      </c>
      <c r="AP16" s="906">
        <f t="shared" si="6"/>
        <v>204</v>
      </c>
      <c r="AQ16" s="906">
        <f t="shared" si="6"/>
        <v>203</v>
      </c>
      <c r="AR16" s="907">
        <f t="shared" si="7"/>
        <v>0.99509803921568629</v>
      </c>
      <c r="AS16" s="906">
        <f t="shared" si="8"/>
        <v>134042</v>
      </c>
      <c r="AT16" s="906">
        <f t="shared" si="8"/>
        <v>140456</v>
      </c>
      <c r="AU16" s="906">
        <f>Y16+AQ16</f>
        <v>137022</v>
      </c>
      <c r="AV16" s="907">
        <f t="shared" si="9"/>
        <v>0.97555106225437149</v>
      </c>
      <c r="AW16" s="886"/>
      <c r="AX16" s="886"/>
      <c r="AY16" s="886"/>
      <c r="AZ16" s="886"/>
      <c r="BA16" s="886"/>
      <c r="BB16" s="968"/>
      <c r="BC16" s="968"/>
      <c r="BD16" s="968"/>
      <c r="BE16" s="968"/>
      <c r="BF16" s="968"/>
      <c r="BG16" s="968"/>
      <c r="BH16" s="968"/>
      <c r="BI16" s="968"/>
    </row>
    <row r="17" spans="1:61" s="969" customFormat="1" ht="49.5" customHeight="1" x14ac:dyDescent="0.7">
      <c r="A17" s="903" t="s">
        <v>1151</v>
      </c>
      <c r="B17" s="904">
        <f>'[4]int.kiadások RM I'!B17</f>
        <v>123896</v>
      </c>
      <c r="C17" s="904">
        <f>'[4]int.kiadások RM III'!D17</f>
        <v>127882</v>
      </c>
      <c r="D17" s="904">
        <v>119654</v>
      </c>
      <c r="E17" s="905">
        <f t="shared" si="0"/>
        <v>0.93565943604260182</v>
      </c>
      <c r="F17" s="904">
        <f>'[4]int.kiadások RM I'!E17</f>
        <v>16223</v>
      </c>
      <c r="G17" s="904">
        <f>'[4]int.kiadások RM III'!G17</f>
        <v>16754</v>
      </c>
      <c r="H17" s="904">
        <v>13522</v>
      </c>
      <c r="I17" s="905">
        <f t="shared" si="1"/>
        <v>0.80709084397755759</v>
      </c>
      <c r="J17" s="904">
        <f>'[4]int.kiadások RM I'!H17</f>
        <v>2698</v>
      </c>
      <c r="K17" s="904">
        <f>'[4]int.kiadások RM III'!J17</f>
        <v>4346</v>
      </c>
      <c r="L17" s="904">
        <v>3992</v>
      </c>
      <c r="M17" s="905">
        <f t="shared" si="2"/>
        <v>0.91854578923147723</v>
      </c>
      <c r="N17" s="903" t="s">
        <v>1151</v>
      </c>
      <c r="O17" s="904">
        <f>'[4]int.kiadások RM I'!L17</f>
        <v>0</v>
      </c>
      <c r="P17" s="904">
        <f>'[4]int.kiadások RM III'!N17</f>
        <v>0</v>
      </c>
      <c r="Q17" s="904"/>
      <c r="R17" s="905"/>
      <c r="S17" s="904">
        <f>'[4]int.kiadások RM I'!O17</f>
        <v>0</v>
      </c>
      <c r="T17" s="904">
        <f>'[4]int.kiadások RM III'!Q17</f>
        <v>0</v>
      </c>
      <c r="U17" s="904"/>
      <c r="V17" s="905"/>
      <c r="W17" s="906">
        <f t="shared" si="3"/>
        <v>142817</v>
      </c>
      <c r="X17" s="906">
        <f t="shared" si="3"/>
        <v>148982</v>
      </c>
      <c r="Y17" s="906">
        <f t="shared" si="3"/>
        <v>137168</v>
      </c>
      <c r="Z17" s="907">
        <f t="shared" si="4"/>
        <v>0.92070182975124515</v>
      </c>
      <c r="AA17" s="903" t="s">
        <v>1151</v>
      </c>
      <c r="AB17" s="904">
        <f>'[4]int.kiadások RM I'!V17</f>
        <v>0</v>
      </c>
      <c r="AC17" s="904">
        <f>'[4]int.kiadások RM III'!X17</f>
        <v>3259</v>
      </c>
      <c r="AD17" s="904">
        <v>433</v>
      </c>
      <c r="AE17" s="905">
        <f t="shared" si="5"/>
        <v>0.13286284136238111</v>
      </c>
      <c r="AF17" s="904">
        <f>'[4]int.kiadások RM I'!Y17</f>
        <v>0</v>
      </c>
      <c r="AG17" s="904">
        <f>'[4]int.kiadások RM III'!AA17</f>
        <v>0</v>
      </c>
      <c r="AH17" s="904"/>
      <c r="AI17" s="905"/>
      <c r="AJ17" s="904">
        <f>'[4]int.kiadások RM I'!AB17</f>
        <v>0</v>
      </c>
      <c r="AK17" s="904">
        <f>'[4]int.kiadások RM III'!AD17</f>
        <v>0</v>
      </c>
      <c r="AL17" s="904"/>
      <c r="AM17" s="905"/>
      <c r="AN17" s="903" t="s">
        <v>1151</v>
      </c>
      <c r="AO17" s="906">
        <f t="shared" si="6"/>
        <v>0</v>
      </c>
      <c r="AP17" s="906">
        <f t="shared" si="6"/>
        <v>3259</v>
      </c>
      <c r="AQ17" s="906">
        <f t="shared" si="6"/>
        <v>433</v>
      </c>
      <c r="AR17" s="907">
        <f t="shared" si="7"/>
        <v>0.13286284136238111</v>
      </c>
      <c r="AS17" s="906">
        <f t="shared" si="8"/>
        <v>142817</v>
      </c>
      <c r="AT17" s="906">
        <f t="shared" si="8"/>
        <v>152241</v>
      </c>
      <c r="AU17" s="906">
        <f t="shared" si="8"/>
        <v>137601</v>
      </c>
      <c r="AV17" s="907">
        <f t="shared" si="9"/>
        <v>0.90383668000078821</v>
      </c>
      <c r="AW17" s="886"/>
      <c r="AX17" s="886"/>
      <c r="AY17" s="886"/>
      <c r="AZ17" s="886"/>
      <c r="BA17" s="886"/>
      <c r="BB17" s="968"/>
      <c r="BC17" s="968"/>
      <c r="BD17" s="968"/>
      <c r="BE17" s="968"/>
      <c r="BF17" s="968"/>
      <c r="BG17" s="968"/>
      <c r="BH17" s="968"/>
      <c r="BI17" s="968"/>
    </row>
    <row r="18" spans="1:61" s="969" customFormat="1" ht="49.5" customHeight="1" x14ac:dyDescent="0.7">
      <c r="A18" s="903" t="s">
        <v>1152</v>
      </c>
      <c r="B18" s="904">
        <f>'[4]int.kiadások RM I'!B18</f>
        <v>161023</v>
      </c>
      <c r="C18" s="904">
        <f>'[4]int.kiadások RM III'!D18</f>
        <v>165268</v>
      </c>
      <c r="D18" s="904">
        <v>158443</v>
      </c>
      <c r="E18" s="905">
        <f t="shared" si="0"/>
        <v>0.95870343926228918</v>
      </c>
      <c r="F18" s="904">
        <f>'[4]int.kiadások RM I'!E18</f>
        <v>24156</v>
      </c>
      <c r="G18" s="904">
        <f>'[4]int.kiadások RM III'!G18</f>
        <v>25445</v>
      </c>
      <c r="H18" s="904">
        <v>24558</v>
      </c>
      <c r="I18" s="905">
        <f t="shared" si="1"/>
        <v>0.96514049911573985</v>
      </c>
      <c r="J18" s="904">
        <f>'[4]int.kiadások RM I'!H18</f>
        <v>3074</v>
      </c>
      <c r="K18" s="904">
        <f>'[4]int.kiadások RM III'!J18</f>
        <v>4167</v>
      </c>
      <c r="L18" s="904">
        <v>2755</v>
      </c>
      <c r="M18" s="905">
        <f t="shared" si="2"/>
        <v>0.66114710823134148</v>
      </c>
      <c r="N18" s="903" t="s">
        <v>1152</v>
      </c>
      <c r="O18" s="904">
        <f>'[4]int.kiadások RM I'!L18</f>
        <v>0</v>
      </c>
      <c r="P18" s="904">
        <f>'[4]int.kiadások RM III'!N18</f>
        <v>0</v>
      </c>
      <c r="Q18" s="904"/>
      <c r="R18" s="905"/>
      <c r="S18" s="904">
        <f>'[4]int.kiadások RM I'!O18</f>
        <v>0</v>
      </c>
      <c r="T18" s="904">
        <f>'[4]int.kiadások RM III'!Q18</f>
        <v>0</v>
      </c>
      <c r="U18" s="904"/>
      <c r="V18" s="905"/>
      <c r="W18" s="906">
        <f t="shared" si="3"/>
        <v>188253</v>
      </c>
      <c r="X18" s="906">
        <f t="shared" si="3"/>
        <v>194880</v>
      </c>
      <c r="Y18" s="906">
        <f t="shared" si="3"/>
        <v>185756</v>
      </c>
      <c r="Z18" s="907">
        <f t="shared" si="4"/>
        <v>0.95318144499178981</v>
      </c>
      <c r="AA18" s="903" t="s">
        <v>1152</v>
      </c>
      <c r="AB18" s="904">
        <f>'[4]int.kiadások RM I'!V18</f>
        <v>0</v>
      </c>
      <c r="AC18" s="904">
        <f>'[4]int.kiadások RM III'!X18</f>
        <v>3174</v>
      </c>
      <c r="AD18" s="904">
        <v>2310</v>
      </c>
      <c r="AE18" s="905">
        <f t="shared" si="5"/>
        <v>0.72778827977315685</v>
      </c>
      <c r="AF18" s="904">
        <f>'[4]int.kiadások RM I'!Y18</f>
        <v>0</v>
      </c>
      <c r="AG18" s="904">
        <f>'[4]int.kiadások RM III'!AA18</f>
        <v>288</v>
      </c>
      <c r="AH18" s="904">
        <v>287</v>
      </c>
      <c r="AI18" s="905">
        <f>AH18/AG18</f>
        <v>0.99652777777777779</v>
      </c>
      <c r="AJ18" s="904">
        <f>'[4]int.kiadások RM I'!AB18</f>
        <v>0</v>
      </c>
      <c r="AK18" s="904">
        <f>'[4]int.kiadások RM III'!AD18</f>
        <v>0</v>
      </c>
      <c r="AL18" s="904"/>
      <c r="AM18" s="905"/>
      <c r="AN18" s="903" t="s">
        <v>1152</v>
      </c>
      <c r="AO18" s="906">
        <f t="shared" si="6"/>
        <v>0</v>
      </c>
      <c r="AP18" s="906">
        <f t="shared" si="6"/>
        <v>3462</v>
      </c>
      <c r="AQ18" s="906">
        <f t="shared" si="6"/>
        <v>2597</v>
      </c>
      <c r="AR18" s="907">
        <f t="shared" si="7"/>
        <v>0.75014442518775271</v>
      </c>
      <c r="AS18" s="906">
        <f t="shared" si="8"/>
        <v>188253</v>
      </c>
      <c r="AT18" s="906">
        <f t="shared" si="8"/>
        <v>198342</v>
      </c>
      <c r="AU18" s="906">
        <f t="shared" si="8"/>
        <v>188353</v>
      </c>
      <c r="AV18" s="907">
        <f t="shared" si="9"/>
        <v>0.94963749483215865</v>
      </c>
      <c r="AW18" s="886"/>
      <c r="AX18" s="886"/>
      <c r="AY18" s="886"/>
      <c r="AZ18" s="886"/>
      <c r="BA18" s="886"/>
      <c r="BB18" s="968"/>
      <c r="BC18" s="968"/>
      <c r="BD18" s="968"/>
      <c r="BE18" s="968"/>
      <c r="BF18" s="968"/>
      <c r="BG18" s="968"/>
      <c r="BH18" s="968"/>
      <c r="BI18" s="968"/>
    </row>
    <row r="19" spans="1:61" s="969" customFormat="1" ht="49.5" customHeight="1" x14ac:dyDescent="0.7">
      <c r="A19" s="903" t="s">
        <v>1153</v>
      </c>
      <c r="B19" s="904">
        <f>'[4]int.kiadások RM I'!B19</f>
        <v>198472</v>
      </c>
      <c r="C19" s="904">
        <f>'[4]int.kiadások RM III'!D19</f>
        <v>213146</v>
      </c>
      <c r="D19" s="904">
        <v>208489</v>
      </c>
      <c r="E19" s="905">
        <f t="shared" si="0"/>
        <v>0.97815112645792091</v>
      </c>
      <c r="F19" s="904">
        <f>'[4]int.kiadások RM I'!E19</f>
        <v>29306</v>
      </c>
      <c r="G19" s="904">
        <f>'[4]int.kiadások RM III'!G19</f>
        <v>31096</v>
      </c>
      <c r="H19" s="904">
        <v>26849</v>
      </c>
      <c r="I19" s="905">
        <f t="shared" si="1"/>
        <v>0.86342294828916899</v>
      </c>
      <c r="J19" s="904">
        <f>'[4]int.kiadások RM I'!H19</f>
        <v>3902</v>
      </c>
      <c r="K19" s="904">
        <f>'[4]int.kiadások RM III'!J19</f>
        <v>6616</v>
      </c>
      <c r="L19" s="904">
        <v>6261</v>
      </c>
      <c r="M19" s="905">
        <f t="shared" si="2"/>
        <v>0.94634220072551389</v>
      </c>
      <c r="N19" s="903" t="s">
        <v>1153</v>
      </c>
      <c r="O19" s="904">
        <f>'[4]int.kiadások RM I'!L19</f>
        <v>0</v>
      </c>
      <c r="P19" s="904">
        <f>'[4]int.kiadások RM III'!N19</f>
        <v>0</v>
      </c>
      <c r="Q19" s="904"/>
      <c r="R19" s="905"/>
      <c r="S19" s="904">
        <f>'[4]int.kiadások RM I'!O19</f>
        <v>0</v>
      </c>
      <c r="T19" s="904">
        <f>'[4]int.kiadások RM III'!Q19</f>
        <v>0</v>
      </c>
      <c r="U19" s="904"/>
      <c r="V19" s="905"/>
      <c r="W19" s="906">
        <f t="shared" si="3"/>
        <v>231680</v>
      </c>
      <c r="X19" s="906">
        <f t="shared" si="3"/>
        <v>250858</v>
      </c>
      <c r="Y19" s="906">
        <f t="shared" si="3"/>
        <v>241599</v>
      </c>
      <c r="Z19" s="907">
        <f t="shared" si="4"/>
        <v>0.96309067281091298</v>
      </c>
      <c r="AA19" s="903" t="s">
        <v>1153</v>
      </c>
      <c r="AB19" s="904">
        <f>'[4]int.kiadások RM I'!V19</f>
        <v>0</v>
      </c>
      <c r="AC19" s="904">
        <f>'[4]int.kiadások RM III'!X19</f>
        <v>1283</v>
      </c>
      <c r="AD19" s="904">
        <f>1282+1</f>
        <v>1283</v>
      </c>
      <c r="AE19" s="905">
        <f t="shared" si="5"/>
        <v>1</v>
      </c>
      <c r="AF19" s="904">
        <f>'[4]int.kiadások RM I'!Y19</f>
        <v>0</v>
      </c>
      <c r="AG19" s="904">
        <f>'[4]int.kiadások RM III'!AA19</f>
        <v>0</v>
      </c>
      <c r="AH19" s="904"/>
      <c r="AI19" s="905"/>
      <c r="AJ19" s="904">
        <f>'[4]int.kiadások RM I'!AB19</f>
        <v>0</v>
      </c>
      <c r="AK19" s="904">
        <f>'[4]int.kiadások RM III'!AD19</f>
        <v>0</v>
      </c>
      <c r="AL19" s="904"/>
      <c r="AM19" s="905"/>
      <c r="AN19" s="903" t="s">
        <v>1153</v>
      </c>
      <c r="AO19" s="906">
        <f t="shared" si="6"/>
        <v>0</v>
      </c>
      <c r="AP19" s="906">
        <f t="shared" si="6"/>
        <v>1283</v>
      </c>
      <c r="AQ19" s="906">
        <f t="shared" si="6"/>
        <v>1283</v>
      </c>
      <c r="AR19" s="907">
        <f t="shared" si="7"/>
        <v>1</v>
      </c>
      <c r="AS19" s="906">
        <f t="shared" si="8"/>
        <v>231680</v>
      </c>
      <c r="AT19" s="906">
        <f t="shared" si="8"/>
        <v>252141</v>
      </c>
      <c r="AU19" s="906">
        <f>Y19+AQ19</f>
        <v>242882</v>
      </c>
      <c r="AV19" s="907">
        <f t="shared" si="9"/>
        <v>0.96327848307098007</v>
      </c>
      <c r="AW19" s="886"/>
      <c r="AX19" s="886"/>
      <c r="AY19" s="886"/>
      <c r="AZ19" s="886"/>
      <c r="BA19" s="886"/>
      <c r="BB19" s="968"/>
      <c r="BC19" s="968"/>
      <c r="BD19" s="968"/>
      <c r="BE19" s="968"/>
      <c r="BF19" s="968"/>
      <c r="BG19" s="968"/>
      <c r="BH19" s="968"/>
      <c r="BI19" s="968"/>
    </row>
    <row r="20" spans="1:61" s="969" customFormat="1" ht="49.5" customHeight="1" x14ac:dyDescent="0.7">
      <c r="A20" s="903" t="s">
        <v>1154</v>
      </c>
      <c r="B20" s="904">
        <f>'[4]int.kiadások RM I'!B20</f>
        <v>99981</v>
      </c>
      <c r="C20" s="904">
        <f>'[4]int.kiadások RM III'!D20</f>
        <v>101147</v>
      </c>
      <c r="D20" s="904">
        <v>99892</v>
      </c>
      <c r="E20" s="905">
        <f t="shared" si="0"/>
        <v>0.98759231613394372</v>
      </c>
      <c r="F20" s="904">
        <f>'[4]int.kiadások RM I'!E20</f>
        <v>13016</v>
      </c>
      <c r="G20" s="904">
        <f>'[4]int.kiadások RM III'!G20</f>
        <v>13183</v>
      </c>
      <c r="H20" s="904">
        <v>12953</v>
      </c>
      <c r="I20" s="905">
        <f t="shared" si="1"/>
        <v>0.98255328832587419</v>
      </c>
      <c r="J20" s="904">
        <f>'[4]int.kiadások RM I'!H20</f>
        <v>2308</v>
      </c>
      <c r="K20" s="904">
        <f>'[4]int.kiadások RM III'!J20</f>
        <v>5196</v>
      </c>
      <c r="L20" s="904">
        <v>4074</v>
      </c>
      <c r="M20" s="905">
        <f t="shared" si="2"/>
        <v>0.78406466512702078</v>
      </c>
      <c r="N20" s="903" t="s">
        <v>1154</v>
      </c>
      <c r="O20" s="904">
        <f>'[4]int.kiadások RM I'!L20</f>
        <v>0</v>
      </c>
      <c r="P20" s="904">
        <f>'[4]int.kiadások RM III'!N20</f>
        <v>0</v>
      </c>
      <c r="Q20" s="904"/>
      <c r="R20" s="905"/>
      <c r="S20" s="904">
        <f>'[4]int.kiadások RM I'!O20</f>
        <v>0</v>
      </c>
      <c r="T20" s="904">
        <f>'[4]int.kiadások RM III'!Q20</f>
        <v>0</v>
      </c>
      <c r="U20" s="904"/>
      <c r="V20" s="905"/>
      <c r="W20" s="906">
        <f t="shared" si="3"/>
        <v>115305</v>
      </c>
      <c r="X20" s="906">
        <f t="shared" si="3"/>
        <v>119526</v>
      </c>
      <c r="Y20" s="906">
        <f t="shared" si="3"/>
        <v>116919</v>
      </c>
      <c r="Z20" s="907">
        <f t="shared" si="4"/>
        <v>0.97818884594146882</v>
      </c>
      <c r="AA20" s="903" t="s">
        <v>1154</v>
      </c>
      <c r="AB20" s="904">
        <f>'[4]int.kiadások RM I'!V20</f>
        <v>0</v>
      </c>
      <c r="AC20" s="904">
        <f>'[4]int.kiadások RM III'!X20</f>
        <v>3300</v>
      </c>
      <c r="AD20" s="904">
        <v>3299</v>
      </c>
      <c r="AE20" s="905">
        <f t="shared" si="5"/>
        <v>0.99969696969696975</v>
      </c>
      <c r="AF20" s="904">
        <f>'[4]int.kiadások RM I'!Y20</f>
        <v>0</v>
      </c>
      <c r="AG20" s="904">
        <f>'[4]int.kiadások RM III'!AA20</f>
        <v>0</v>
      </c>
      <c r="AH20" s="904"/>
      <c r="AI20" s="905"/>
      <c r="AJ20" s="904">
        <f>'[4]int.kiadások RM I'!AB20</f>
        <v>0</v>
      </c>
      <c r="AK20" s="904">
        <f>'[4]int.kiadások RM III'!AD20</f>
        <v>0</v>
      </c>
      <c r="AL20" s="904"/>
      <c r="AM20" s="905"/>
      <c r="AN20" s="903" t="s">
        <v>1154</v>
      </c>
      <c r="AO20" s="906">
        <f t="shared" si="6"/>
        <v>0</v>
      </c>
      <c r="AP20" s="906">
        <f t="shared" si="6"/>
        <v>3300</v>
      </c>
      <c r="AQ20" s="906">
        <f t="shared" si="6"/>
        <v>3299</v>
      </c>
      <c r="AR20" s="907">
        <f t="shared" si="7"/>
        <v>0.99969696969696975</v>
      </c>
      <c r="AS20" s="906">
        <f t="shared" si="8"/>
        <v>115305</v>
      </c>
      <c r="AT20" s="906">
        <f t="shared" si="8"/>
        <v>122826</v>
      </c>
      <c r="AU20" s="906">
        <f t="shared" si="8"/>
        <v>120218</v>
      </c>
      <c r="AV20" s="907">
        <f t="shared" si="9"/>
        <v>0.97876671063129961</v>
      </c>
      <c r="AW20" s="886"/>
      <c r="AX20" s="886"/>
      <c r="AY20" s="886"/>
      <c r="AZ20" s="886"/>
      <c r="BA20" s="886"/>
      <c r="BB20" s="968"/>
      <c r="BC20" s="968"/>
      <c r="BD20" s="968"/>
      <c r="BE20" s="968"/>
      <c r="BF20" s="968"/>
      <c r="BG20" s="968"/>
      <c r="BH20" s="968"/>
      <c r="BI20" s="968"/>
    </row>
    <row r="21" spans="1:61" s="969" customFormat="1" ht="49.5" customHeight="1" x14ac:dyDescent="0.7">
      <c r="A21" s="903" t="s">
        <v>1155</v>
      </c>
      <c r="B21" s="904">
        <f>'[4]int.kiadások RM I'!B21</f>
        <v>98833</v>
      </c>
      <c r="C21" s="904">
        <f>'[4]int.kiadások RM III'!D21</f>
        <v>96987</v>
      </c>
      <c r="D21" s="904">
        <v>90127</v>
      </c>
      <c r="E21" s="905">
        <f t="shared" si="0"/>
        <v>0.92926887108581557</v>
      </c>
      <c r="F21" s="904">
        <f>'[4]int.kiadások RM I'!E21</f>
        <v>12927</v>
      </c>
      <c r="G21" s="904">
        <f>'[4]int.kiadások RM III'!G21</f>
        <v>13218</v>
      </c>
      <c r="H21" s="904">
        <v>12326</v>
      </c>
      <c r="I21" s="905">
        <f t="shared" si="1"/>
        <v>0.93251626569829016</v>
      </c>
      <c r="J21" s="904">
        <f>'[4]int.kiadások RM I'!H21</f>
        <v>2171</v>
      </c>
      <c r="K21" s="904">
        <f>'[4]int.kiadások RM III'!J21</f>
        <v>5360</v>
      </c>
      <c r="L21" s="904">
        <v>5359</v>
      </c>
      <c r="M21" s="905">
        <f t="shared" si="2"/>
        <v>0.99981343283582091</v>
      </c>
      <c r="N21" s="903" t="s">
        <v>1155</v>
      </c>
      <c r="O21" s="904">
        <f>'[4]int.kiadások RM I'!L21</f>
        <v>0</v>
      </c>
      <c r="P21" s="904">
        <f>'[4]int.kiadások RM III'!N21</f>
        <v>0</v>
      </c>
      <c r="Q21" s="904"/>
      <c r="R21" s="905"/>
      <c r="S21" s="904">
        <f>'[4]int.kiadások RM I'!O21</f>
        <v>0</v>
      </c>
      <c r="T21" s="904">
        <f>'[4]int.kiadások RM III'!Q21</f>
        <v>0</v>
      </c>
      <c r="U21" s="904"/>
      <c r="V21" s="905"/>
      <c r="W21" s="906">
        <f t="shared" si="3"/>
        <v>113931</v>
      </c>
      <c r="X21" s="906">
        <f t="shared" si="3"/>
        <v>115565</v>
      </c>
      <c r="Y21" s="906">
        <f t="shared" si="3"/>
        <v>107812</v>
      </c>
      <c r="Z21" s="907">
        <f t="shared" si="4"/>
        <v>0.9329122139055942</v>
      </c>
      <c r="AA21" s="903" t="s">
        <v>1155</v>
      </c>
      <c r="AB21" s="904">
        <f>'[4]int.kiadások RM I'!V21</f>
        <v>0</v>
      </c>
      <c r="AC21" s="904">
        <f>'[4]int.kiadások RM III'!X21</f>
        <v>442</v>
      </c>
      <c r="AD21" s="904">
        <v>441</v>
      </c>
      <c r="AE21" s="905">
        <f t="shared" si="5"/>
        <v>0.99773755656108598</v>
      </c>
      <c r="AF21" s="904">
        <f>'[4]int.kiadások RM I'!Y21</f>
        <v>0</v>
      </c>
      <c r="AG21" s="904">
        <f>'[4]int.kiadások RM III'!AA21</f>
        <v>0</v>
      </c>
      <c r="AH21" s="904"/>
      <c r="AI21" s="905"/>
      <c r="AJ21" s="904">
        <f>'[4]int.kiadások RM I'!AB21</f>
        <v>0</v>
      </c>
      <c r="AK21" s="904">
        <f>'[4]int.kiadások RM III'!AD21</f>
        <v>0</v>
      </c>
      <c r="AL21" s="904"/>
      <c r="AM21" s="905"/>
      <c r="AN21" s="903" t="s">
        <v>1155</v>
      </c>
      <c r="AO21" s="906">
        <f t="shared" si="6"/>
        <v>0</v>
      </c>
      <c r="AP21" s="906">
        <f t="shared" si="6"/>
        <v>442</v>
      </c>
      <c r="AQ21" s="906">
        <f t="shared" si="6"/>
        <v>441</v>
      </c>
      <c r="AR21" s="907">
        <f t="shared" si="7"/>
        <v>0.99773755656108598</v>
      </c>
      <c r="AS21" s="906">
        <f t="shared" si="8"/>
        <v>113931</v>
      </c>
      <c r="AT21" s="906">
        <f t="shared" si="8"/>
        <v>116007</v>
      </c>
      <c r="AU21" s="906">
        <f t="shared" si="8"/>
        <v>108253</v>
      </c>
      <c r="AV21" s="907">
        <f t="shared" si="9"/>
        <v>0.93315920590998824</v>
      </c>
      <c r="AW21" s="886"/>
      <c r="AX21" s="886"/>
      <c r="AY21" s="886"/>
      <c r="AZ21" s="886"/>
      <c r="BA21" s="886"/>
      <c r="BB21" s="968"/>
      <c r="BC21" s="968"/>
      <c r="BD21" s="968"/>
      <c r="BE21" s="968"/>
      <c r="BF21" s="968"/>
      <c r="BG21" s="968"/>
      <c r="BH21" s="968"/>
      <c r="BI21" s="968"/>
    </row>
    <row r="22" spans="1:61" s="969" customFormat="1" ht="49.5" customHeight="1" x14ac:dyDescent="0.7">
      <c r="A22" s="903" t="s">
        <v>1156</v>
      </c>
      <c r="B22" s="904">
        <f>'[4]int.kiadások RM I'!B22</f>
        <v>120464</v>
      </c>
      <c r="C22" s="904">
        <f>'[4]int.kiadások RM III'!D22</f>
        <v>127057</v>
      </c>
      <c r="D22" s="904">
        <v>122924</v>
      </c>
      <c r="E22" s="905">
        <f t="shared" si="0"/>
        <v>0.96747129241206697</v>
      </c>
      <c r="F22" s="904">
        <f>'[4]int.kiadások RM I'!E22</f>
        <v>15604</v>
      </c>
      <c r="G22" s="904">
        <f>'[4]int.kiadások RM III'!G22</f>
        <v>16469</v>
      </c>
      <c r="H22" s="904">
        <v>14075</v>
      </c>
      <c r="I22" s="905">
        <f t="shared" si="1"/>
        <v>0.85463598275548003</v>
      </c>
      <c r="J22" s="904">
        <f>'[4]int.kiadások RM I'!H22</f>
        <v>2633</v>
      </c>
      <c r="K22" s="904">
        <f>'[4]int.kiadások RM III'!J22</f>
        <v>4127</v>
      </c>
      <c r="L22" s="904">
        <v>3774</v>
      </c>
      <c r="M22" s="905">
        <f t="shared" si="2"/>
        <v>0.91446571359340922</v>
      </c>
      <c r="N22" s="903" t="s">
        <v>1156</v>
      </c>
      <c r="O22" s="904">
        <f>'[4]int.kiadások RM I'!L22</f>
        <v>0</v>
      </c>
      <c r="P22" s="904">
        <f>'[4]int.kiadások RM III'!N22</f>
        <v>0</v>
      </c>
      <c r="Q22" s="904"/>
      <c r="R22" s="905"/>
      <c r="S22" s="904">
        <f>'[4]int.kiadások RM I'!O22</f>
        <v>0</v>
      </c>
      <c r="T22" s="904">
        <f>'[4]int.kiadások RM III'!Q22</f>
        <v>0</v>
      </c>
      <c r="U22" s="904"/>
      <c r="V22" s="905"/>
      <c r="W22" s="906">
        <f t="shared" si="3"/>
        <v>138701</v>
      </c>
      <c r="X22" s="906">
        <f t="shared" si="3"/>
        <v>147653</v>
      </c>
      <c r="Y22" s="906">
        <f t="shared" si="3"/>
        <v>140773</v>
      </c>
      <c r="Z22" s="907">
        <f t="shared" si="4"/>
        <v>0.95340426540605339</v>
      </c>
      <c r="AA22" s="903" t="s">
        <v>1156</v>
      </c>
      <c r="AB22" s="904">
        <f>'[4]int.kiadások RM I'!V22</f>
        <v>0</v>
      </c>
      <c r="AC22" s="904">
        <f>'[4]int.kiadások RM III'!X22</f>
        <v>863</v>
      </c>
      <c r="AD22" s="904">
        <v>862</v>
      </c>
      <c r="AE22" s="905">
        <f t="shared" si="5"/>
        <v>0.99884125144843572</v>
      </c>
      <c r="AF22" s="904">
        <f>'[4]int.kiadások RM I'!Y22</f>
        <v>0</v>
      </c>
      <c r="AG22" s="904">
        <f>'[4]int.kiadások RM III'!AA22</f>
        <v>3458</v>
      </c>
      <c r="AH22" s="904">
        <v>3458</v>
      </c>
      <c r="AI22" s="905">
        <f>AH22/AG22</f>
        <v>1</v>
      </c>
      <c r="AJ22" s="904">
        <f>'[4]int.kiadások RM I'!AB22</f>
        <v>0</v>
      </c>
      <c r="AK22" s="904">
        <f>'[4]int.kiadások RM III'!AD22</f>
        <v>0</v>
      </c>
      <c r="AL22" s="904"/>
      <c r="AM22" s="905"/>
      <c r="AN22" s="903" t="s">
        <v>1156</v>
      </c>
      <c r="AO22" s="906">
        <f t="shared" si="6"/>
        <v>0</v>
      </c>
      <c r="AP22" s="906">
        <f t="shared" si="6"/>
        <v>4321</v>
      </c>
      <c r="AQ22" s="906">
        <f t="shared" si="6"/>
        <v>4320</v>
      </c>
      <c r="AR22" s="907">
        <f t="shared" si="7"/>
        <v>0.99976857208979408</v>
      </c>
      <c r="AS22" s="906">
        <f t="shared" si="8"/>
        <v>138701</v>
      </c>
      <c r="AT22" s="906">
        <f t="shared" si="8"/>
        <v>151974</v>
      </c>
      <c r="AU22" s="906">
        <f t="shared" si="8"/>
        <v>145093</v>
      </c>
      <c r="AV22" s="907">
        <f t="shared" si="9"/>
        <v>0.95472251832550303</v>
      </c>
      <c r="AW22" s="886"/>
      <c r="AX22" s="886"/>
      <c r="AY22" s="886"/>
      <c r="AZ22" s="886"/>
      <c r="BA22" s="886"/>
      <c r="BB22" s="968"/>
      <c r="BC22" s="968"/>
      <c r="BD22" s="968"/>
      <c r="BE22" s="968"/>
      <c r="BF22" s="968"/>
      <c r="BG22" s="968"/>
      <c r="BH22" s="968"/>
      <c r="BI22" s="968"/>
    </row>
    <row r="23" spans="1:61" s="969" customFormat="1" ht="49.5" customHeight="1" x14ac:dyDescent="0.7">
      <c r="A23" s="903" t="s">
        <v>1157</v>
      </c>
      <c r="B23" s="904">
        <f>'[4]int.kiadások RM I'!B23</f>
        <v>133011</v>
      </c>
      <c r="C23" s="904">
        <f>'[4]int.kiadások RM III'!D23</f>
        <v>138475</v>
      </c>
      <c r="D23" s="904">
        <v>130452</v>
      </c>
      <c r="E23" s="905">
        <f t="shared" si="0"/>
        <v>0.9420617439971114</v>
      </c>
      <c r="F23" s="904">
        <f>'[4]int.kiadások RM I'!E23</f>
        <v>17557</v>
      </c>
      <c r="G23" s="904">
        <f>'[4]int.kiadások RM III'!G23</f>
        <v>18140</v>
      </c>
      <c r="H23" s="904">
        <v>14231</v>
      </c>
      <c r="I23" s="905">
        <f t="shared" si="1"/>
        <v>0.78450937155457556</v>
      </c>
      <c r="J23" s="904">
        <f>'[4]int.kiadások RM I'!H23</f>
        <v>2711</v>
      </c>
      <c r="K23" s="904">
        <f>'[4]int.kiadások RM III'!J23</f>
        <v>6218</v>
      </c>
      <c r="L23" s="904">
        <v>5942</v>
      </c>
      <c r="M23" s="905">
        <f t="shared" si="2"/>
        <v>0.95561273721453843</v>
      </c>
      <c r="N23" s="903" t="s">
        <v>1157</v>
      </c>
      <c r="O23" s="904">
        <f>'[4]int.kiadások RM I'!L23</f>
        <v>0</v>
      </c>
      <c r="P23" s="904">
        <f>'[4]int.kiadások RM III'!N23</f>
        <v>0</v>
      </c>
      <c r="Q23" s="904"/>
      <c r="R23" s="905"/>
      <c r="S23" s="904">
        <f>'[4]int.kiadások RM I'!O23</f>
        <v>0</v>
      </c>
      <c r="T23" s="904">
        <f>'[4]int.kiadások RM III'!Q23</f>
        <v>0</v>
      </c>
      <c r="U23" s="904"/>
      <c r="V23" s="905"/>
      <c r="W23" s="906">
        <f t="shared" si="3"/>
        <v>153279</v>
      </c>
      <c r="X23" s="906">
        <f t="shared" si="3"/>
        <v>162833</v>
      </c>
      <c r="Y23" s="906">
        <f t="shared" si="3"/>
        <v>150625</v>
      </c>
      <c r="Z23" s="907">
        <f t="shared" si="4"/>
        <v>0.92502748214428276</v>
      </c>
      <c r="AA23" s="903" t="s">
        <v>1157</v>
      </c>
      <c r="AB23" s="904">
        <f>'[4]int.kiadások RM I'!V23</f>
        <v>0</v>
      </c>
      <c r="AC23" s="904">
        <f>'[4]int.kiadások RM III'!X23</f>
        <v>1228</v>
      </c>
      <c r="AD23" s="904">
        <v>1227</v>
      </c>
      <c r="AE23" s="905">
        <f t="shared" si="5"/>
        <v>0.999185667752443</v>
      </c>
      <c r="AF23" s="904">
        <f>'[4]int.kiadások RM I'!Y23</f>
        <v>0</v>
      </c>
      <c r="AG23" s="904">
        <f>'[4]int.kiadások RM III'!AA23</f>
        <v>4904</v>
      </c>
      <c r="AH23" s="904">
        <v>4904</v>
      </c>
      <c r="AI23" s="905">
        <f>AH23/AG23</f>
        <v>1</v>
      </c>
      <c r="AJ23" s="904">
        <f>'[4]int.kiadások RM I'!AB23</f>
        <v>0</v>
      </c>
      <c r="AK23" s="904">
        <f>'[4]int.kiadások RM III'!AD23</f>
        <v>0</v>
      </c>
      <c r="AL23" s="904"/>
      <c r="AM23" s="905"/>
      <c r="AN23" s="903" t="s">
        <v>1157</v>
      </c>
      <c r="AO23" s="906">
        <f t="shared" si="6"/>
        <v>0</v>
      </c>
      <c r="AP23" s="906">
        <f t="shared" si="6"/>
        <v>6132</v>
      </c>
      <c r="AQ23" s="906">
        <f t="shared" si="6"/>
        <v>6131</v>
      </c>
      <c r="AR23" s="907">
        <f t="shared" si="7"/>
        <v>0.99983692106979782</v>
      </c>
      <c r="AS23" s="906">
        <f t="shared" si="8"/>
        <v>153279</v>
      </c>
      <c r="AT23" s="906">
        <f t="shared" si="8"/>
        <v>168965</v>
      </c>
      <c r="AU23" s="906">
        <f t="shared" si="8"/>
        <v>156756</v>
      </c>
      <c r="AV23" s="907">
        <f t="shared" si="9"/>
        <v>0.92774243186458738</v>
      </c>
      <c r="AW23" s="886"/>
      <c r="AX23" s="886"/>
      <c r="AY23" s="886"/>
      <c r="AZ23" s="886"/>
      <c r="BA23" s="886"/>
      <c r="BB23" s="968"/>
      <c r="BC23" s="968"/>
      <c r="BD23" s="968"/>
      <c r="BE23" s="968"/>
      <c r="BF23" s="968"/>
      <c r="BG23" s="968"/>
      <c r="BH23" s="968"/>
      <c r="BI23" s="968"/>
    </row>
    <row r="24" spans="1:61" s="969" customFormat="1" ht="49.5" customHeight="1" x14ac:dyDescent="0.7">
      <c r="A24" s="903" t="s">
        <v>1158</v>
      </c>
      <c r="B24" s="904">
        <f>'[4]int.kiadások RM I'!B24</f>
        <v>192608</v>
      </c>
      <c r="C24" s="904">
        <f>'[4]int.kiadások RM III'!D24</f>
        <v>192574</v>
      </c>
      <c r="D24" s="904">
        <v>181055</v>
      </c>
      <c r="E24" s="905">
        <f t="shared" si="0"/>
        <v>0.94018403315089261</v>
      </c>
      <c r="F24" s="904">
        <f>'[4]int.kiadások RM I'!E24</f>
        <v>28553</v>
      </c>
      <c r="G24" s="904">
        <f>'[4]int.kiadások RM III'!G24</f>
        <v>28549</v>
      </c>
      <c r="H24" s="904">
        <v>24840</v>
      </c>
      <c r="I24" s="905">
        <f t="shared" si="1"/>
        <v>0.870083015166906</v>
      </c>
      <c r="J24" s="904">
        <f>'[4]int.kiadások RM I'!H24</f>
        <v>3301</v>
      </c>
      <c r="K24" s="904">
        <f>'[4]int.kiadások RM III'!J24</f>
        <v>4578</v>
      </c>
      <c r="L24" s="904">
        <v>4282</v>
      </c>
      <c r="M24" s="905">
        <f t="shared" si="2"/>
        <v>0.93534294451725641</v>
      </c>
      <c r="N24" s="903" t="s">
        <v>1158</v>
      </c>
      <c r="O24" s="904">
        <f>'[4]int.kiadások RM I'!L24</f>
        <v>0</v>
      </c>
      <c r="P24" s="904">
        <f>'[4]int.kiadások RM III'!N24</f>
        <v>0</v>
      </c>
      <c r="Q24" s="904"/>
      <c r="R24" s="905"/>
      <c r="S24" s="904">
        <f>'[4]int.kiadások RM I'!O24</f>
        <v>0</v>
      </c>
      <c r="T24" s="904">
        <f>'[4]int.kiadások RM III'!Q24</f>
        <v>0</v>
      </c>
      <c r="U24" s="904"/>
      <c r="V24" s="905"/>
      <c r="W24" s="906">
        <f t="shared" si="3"/>
        <v>224462</v>
      </c>
      <c r="X24" s="906">
        <f t="shared" si="3"/>
        <v>225701</v>
      </c>
      <c r="Y24" s="906">
        <f t="shared" si="3"/>
        <v>210177</v>
      </c>
      <c r="Z24" s="907">
        <f t="shared" si="4"/>
        <v>0.9312187362927058</v>
      </c>
      <c r="AA24" s="903" t="s">
        <v>1158</v>
      </c>
      <c r="AB24" s="904">
        <f>'[4]int.kiadások RM I'!V24</f>
        <v>0</v>
      </c>
      <c r="AC24" s="904">
        <f>'[4]int.kiadások RM III'!X24</f>
        <v>1627</v>
      </c>
      <c r="AD24" s="904">
        <v>1627</v>
      </c>
      <c r="AE24" s="905">
        <f t="shared" si="5"/>
        <v>1</v>
      </c>
      <c r="AF24" s="904">
        <f>'[4]int.kiadások RM I'!Y24</f>
        <v>0</v>
      </c>
      <c r="AG24" s="904">
        <f>'[4]int.kiadások RM III'!AA24</f>
        <v>1492</v>
      </c>
      <c r="AH24" s="904">
        <v>1491</v>
      </c>
      <c r="AI24" s="905">
        <f>AH24/AG24</f>
        <v>0.99932975871313678</v>
      </c>
      <c r="AJ24" s="904">
        <f>'[4]int.kiadások RM I'!AB24</f>
        <v>0</v>
      </c>
      <c r="AK24" s="904">
        <f>'[4]int.kiadások RM III'!AD24</f>
        <v>0</v>
      </c>
      <c r="AL24" s="904"/>
      <c r="AM24" s="905"/>
      <c r="AN24" s="903" t="s">
        <v>1158</v>
      </c>
      <c r="AO24" s="906">
        <f t="shared" si="6"/>
        <v>0</v>
      </c>
      <c r="AP24" s="906">
        <f t="shared" si="6"/>
        <v>3119</v>
      </c>
      <c r="AQ24" s="906">
        <f t="shared" si="6"/>
        <v>3118</v>
      </c>
      <c r="AR24" s="907">
        <f t="shared" si="7"/>
        <v>0.99967938441808268</v>
      </c>
      <c r="AS24" s="906">
        <f t="shared" si="8"/>
        <v>224462</v>
      </c>
      <c r="AT24" s="906">
        <f t="shared" si="8"/>
        <v>228820</v>
      </c>
      <c r="AU24" s="906">
        <f t="shared" si="8"/>
        <v>213295</v>
      </c>
      <c r="AV24" s="907">
        <f t="shared" si="9"/>
        <v>0.93215190979809459</v>
      </c>
      <c r="AW24" s="886"/>
      <c r="AX24" s="886"/>
      <c r="AY24" s="886"/>
      <c r="AZ24" s="886"/>
      <c r="BA24" s="886"/>
      <c r="BB24" s="968"/>
      <c r="BC24" s="968"/>
      <c r="BD24" s="968"/>
      <c r="BE24" s="968"/>
      <c r="BF24" s="968"/>
      <c r="BG24" s="968"/>
      <c r="BH24" s="968"/>
      <c r="BI24" s="968"/>
    </row>
    <row r="25" spans="1:61" s="969" customFormat="1" ht="49.5" customHeight="1" x14ac:dyDescent="0.7">
      <c r="A25" s="903" t="s">
        <v>1183</v>
      </c>
      <c r="B25" s="904">
        <f>'[4]int.kiadások RM I'!B25</f>
        <v>154697</v>
      </c>
      <c r="C25" s="904">
        <f>'[4]int.kiadások RM III'!D25</f>
        <v>155067</v>
      </c>
      <c r="D25" s="904">
        <v>144621</v>
      </c>
      <c r="E25" s="905">
        <f t="shared" si="0"/>
        <v>0.93263557043084599</v>
      </c>
      <c r="F25" s="904">
        <f>'[4]int.kiadások RM I'!E25</f>
        <v>20330</v>
      </c>
      <c r="G25" s="904">
        <f>'[4]int.kiadások RM III'!G25</f>
        <v>20266</v>
      </c>
      <c r="H25" s="904">
        <v>13074</v>
      </c>
      <c r="I25" s="905">
        <f t="shared" si="1"/>
        <v>0.64511990526004148</v>
      </c>
      <c r="J25" s="904">
        <f>'[4]int.kiadások RM I'!H25</f>
        <v>2566</v>
      </c>
      <c r="K25" s="904">
        <f>'[4]int.kiadások RM III'!J25</f>
        <v>6049</v>
      </c>
      <c r="L25" s="904">
        <v>3833</v>
      </c>
      <c r="M25" s="905">
        <f t="shared" si="2"/>
        <v>0.63365845594313108</v>
      </c>
      <c r="N25" s="903" t="s">
        <v>1183</v>
      </c>
      <c r="O25" s="904">
        <f>'[4]int.kiadások RM I'!L25</f>
        <v>0</v>
      </c>
      <c r="P25" s="904">
        <f>'[4]int.kiadások RM III'!N25</f>
        <v>0</v>
      </c>
      <c r="Q25" s="904"/>
      <c r="R25" s="905"/>
      <c r="S25" s="904">
        <f>'[4]int.kiadások RM I'!O25</f>
        <v>0</v>
      </c>
      <c r="T25" s="904">
        <f>'[4]int.kiadások RM III'!Q25</f>
        <v>0</v>
      </c>
      <c r="U25" s="904"/>
      <c r="V25" s="905"/>
      <c r="W25" s="906">
        <f t="shared" si="3"/>
        <v>177593</v>
      </c>
      <c r="X25" s="906">
        <f t="shared" si="3"/>
        <v>181382</v>
      </c>
      <c r="Y25" s="906">
        <f t="shared" si="3"/>
        <v>161528</v>
      </c>
      <c r="Z25" s="907">
        <f t="shared" si="4"/>
        <v>0.89054040643503762</v>
      </c>
      <c r="AA25" s="903" t="s">
        <v>1183</v>
      </c>
      <c r="AB25" s="904">
        <f>'[4]int.kiadások RM I'!V25</f>
        <v>0</v>
      </c>
      <c r="AC25" s="904">
        <f>'[4]int.kiadások RM III'!X25</f>
        <v>6686</v>
      </c>
      <c r="AD25" s="904">
        <v>2583</v>
      </c>
      <c r="AE25" s="905">
        <f t="shared" si="5"/>
        <v>0.3863296440323063</v>
      </c>
      <c r="AF25" s="904">
        <f>'[4]int.kiadások RM I'!Y25</f>
        <v>0</v>
      </c>
      <c r="AG25" s="904">
        <f>'[4]int.kiadások RM III'!AA25</f>
        <v>0</v>
      </c>
      <c r="AH25" s="904"/>
      <c r="AI25" s="905"/>
      <c r="AJ25" s="904">
        <f>'[4]int.kiadások RM I'!AB25</f>
        <v>0</v>
      </c>
      <c r="AK25" s="904">
        <f>'[4]int.kiadások RM III'!AD25</f>
        <v>0</v>
      </c>
      <c r="AL25" s="904"/>
      <c r="AM25" s="905"/>
      <c r="AN25" s="903" t="s">
        <v>1183</v>
      </c>
      <c r="AO25" s="906">
        <f t="shared" si="6"/>
        <v>0</v>
      </c>
      <c r="AP25" s="906">
        <f t="shared" si="6"/>
        <v>6686</v>
      </c>
      <c r="AQ25" s="906">
        <f t="shared" si="6"/>
        <v>2583</v>
      </c>
      <c r="AR25" s="907">
        <f t="shared" si="7"/>
        <v>0.3863296440323063</v>
      </c>
      <c r="AS25" s="906">
        <f t="shared" si="8"/>
        <v>177593</v>
      </c>
      <c r="AT25" s="906">
        <f t="shared" si="8"/>
        <v>188068</v>
      </c>
      <c r="AU25" s="906">
        <f t="shared" si="8"/>
        <v>164111</v>
      </c>
      <c r="AV25" s="907">
        <f t="shared" si="9"/>
        <v>0.87261522428057936</v>
      </c>
      <c r="AW25" s="886"/>
      <c r="AX25" s="886"/>
      <c r="AY25" s="886"/>
      <c r="AZ25" s="886"/>
      <c r="BA25" s="886"/>
      <c r="BB25" s="968"/>
      <c r="BC25" s="968"/>
      <c r="BD25" s="968"/>
      <c r="BE25" s="968"/>
      <c r="BF25" s="968"/>
      <c r="BG25" s="968"/>
      <c r="BH25" s="968"/>
      <c r="BI25" s="968"/>
    </row>
    <row r="26" spans="1:61" s="969" customFormat="1" ht="49.5" customHeight="1" x14ac:dyDescent="0.7">
      <c r="A26" s="903" t="s">
        <v>1160</v>
      </c>
      <c r="B26" s="904">
        <f>'[4]int.kiadások RM I'!B26</f>
        <v>109709</v>
      </c>
      <c r="C26" s="904">
        <f>'[4]int.kiadások RM III'!D26</f>
        <v>116129</v>
      </c>
      <c r="D26" s="904">
        <v>113608</v>
      </c>
      <c r="E26" s="905">
        <f t="shared" si="0"/>
        <v>0.97829138285871742</v>
      </c>
      <c r="F26" s="904">
        <f>'[4]int.kiadások RM I'!E26</f>
        <v>14347</v>
      </c>
      <c r="G26" s="904">
        <f>'[4]int.kiadások RM III'!G26</f>
        <v>15181</v>
      </c>
      <c r="H26" s="904">
        <v>14345</v>
      </c>
      <c r="I26" s="905">
        <f t="shared" si="1"/>
        <v>0.9449311639549437</v>
      </c>
      <c r="J26" s="904">
        <f>'[4]int.kiadások RM I'!H26</f>
        <v>2988</v>
      </c>
      <c r="K26" s="904">
        <f>'[4]int.kiadások RM III'!J26</f>
        <v>5054</v>
      </c>
      <c r="L26" s="904">
        <v>3398</v>
      </c>
      <c r="M26" s="905">
        <f t="shared" si="2"/>
        <v>0.67233874159081919</v>
      </c>
      <c r="N26" s="903" t="s">
        <v>1160</v>
      </c>
      <c r="O26" s="904">
        <f>'[4]int.kiadások RM I'!L26</f>
        <v>0</v>
      </c>
      <c r="P26" s="904">
        <f>'[4]int.kiadások RM III'!N26</f>
        <v>0</v>
      </c>
      <c r="Q26" s="904"/>
      <c r="R26" s="905"/>
      <c r="S26" s="904">
        <f>'[4]int.kiadások RM I'!O26</f>
        <v>0</v>
      </c>
      <c r="T26" s="904">
        <f>'[4]int.kiadások RM III'!Q26</f>
        <v>0</v>
      </c>
      <c r="U26" s="904"/>
      <c r="V26" s="905"/>
      <c r="W26" s="906">
        <f t="shared" si="3"/>
        <v>127044</v>
      </c>
      <c r="X26" s="906">
        <f t="shared" si="3"/>
        <v>136364</v>
      </c>
      <c r="Y26" s="906">
        <f t="shared" si="3"/>
        <v>131351</v>
      </c>
      <c r="Z26" s="907">
        <f t="shared" si="4"/>
        <v>0.96323809803173854</v>
      </c>
      <c r="AA26" s="903" t="s">
        <v>1160</v>
      </c>
      <c r="AB26" s="904">
        <f>'[4]int.kiadások RM I'!V26</f>
        <v>0</v>
      </c>
      <c r="AC26" s="904">
        <f>'[4]int.kiadások RM III'!X26</f>
        <v>3281</v>
      </c>
      <c r="AD26" s="904">
        <v>797</v>
      </c>
      <c r="AE26" s="905">
        <f t="shared" si="5"/>
        <v>0.24291374580920452</v>
      </c>
      <c r="AF26" s="904">
        <f>'[4]int.kiadások RM I'!Y26</f>
        <v>0</v>
      </c>
      <c r="AG26" s="904">
        <f>'[4]int.kiadások RM III'!AA26</f>
        <v>0</v>
      </c>
      <c r="AH26" s="904"/>
      <c r="AI26" s="905"/>
      <c r="AJ26" s="904">
        <f>'[4]int.kiadások RM I'!AB26</f>
        <v>0</v>
      </c>
      <c r="AK26" s="904">
        <f>'[4]int.kiadások RM III'!AD26</f>
        <v>0</v>
      </c>
      <c r="AL26" s="904"/>
      <c r="AM26" s="905"/>
      <c r="AN26" s="903" t="s">
        <v>1160</v>
      </c>
      <c r="AO26" s="906">
        <f t="shared" si="6"/>
        <v>0</v>
      </c>
      <c r="AP26" s="906">
        <f t="shared" si="6"/>
        <v>3281</v>
      </c>
      <c r="AQ26" s="906">
        <f t="shared" si="6"/>
        <v>797</v>
      </c>
      <c r="AR26" s="907">
        <f t="shared" si="7"/>
        <v>0.24291374580920452</v>
      </c>
      <c r="AS26" s="906">
        <f t="shared" si="8"/>
        <v>127044</v>
      </c>
      <c r="AT26" s="906">
        <f t="shared" si="8"/>
        <v>139645</v>
      </c>
      <c r="AU26" s="906">
        <f t="shared" si="8"/>
        <v>132148</v>
      </c>
      <c r="AV26" s="907">
        <f t="shared" si="9"/>
        <v>0.946313867306384</v>
      </c>
      <c r="AW26" s="886"/>
      <c r="AX26" s="886"/>
      <c r="AY26" s="886"/>
      <c r="AZ26" s="886"/>
      <c r="BA26" s="886"/>
      <c r="BB26" s="968"/>
      <c r="BC26" s="968"/>
      <c r="BD26" s="968"/>
      <c r="BE26" s="968"/>
      <c r="BF26" s="968"/>
      <c r="BG26" s="968"/>
      <c r="BH26" s="968"/>
      <c r="BI26" s="968"/>
    </row>
    <row r="27" spans="1:61" s="969" customFormat="1" ht="49.5" customHeight="1" thickBot="1" x14ac:dyDescent="0.75">
      <c r="A27" s="908" t="s">
        <v>1161</v>
      </c>
      <c r="B27" s="909">
        <f>'[4]int.kiadások RM I'!B27</f>
        <v>80870</v>
      </c>
      <c r="C27" s="904">
        <f>'[4]int.kiadások RM III'!D27</f>
        <v>79845</v>
      </c>
      <c r="D27" s="909">
        <v>76160</v>
      </c>
      <c r="E27" s="910">
        <f t="shared" si="0"/>
        <v>0.95384808065627158</v>
      </c>
      <c r="F27" s="909">
        <f>'[4]int.kiadások RM I'!E27</f>
        <v>10513</v>
      </c>
      <c r="G27" s="904">
        <f>'[4]int.kiadások RM III'!G27</f>
        <v>10382</v>
      </c>
      <c r="H27" s="904">
        <v>8835</v>
      </c>
      <c r="I27" s="910">
        <f t="shared" si="1"/>
        <v>0.8509921017145059</v>
      </c>
      <c r="J27" s="909">
        <f>'[4]int.kiadások RM I'!H27</f>
        <v>2838</v>
      </c>
      <c r="K27" s="904">
        <f>'[4]int.kiadások RM III'!J27</f>
        <v>4737</v>
      </c>
      <c r="L27" s="909">
        <v>4224</v>
      </c>
      <c r="M27" s="910">
        <f t="shared" si="2"/>
        <v>0.89170360987967068</v>
      </c>
      <c r="N27" s="908" t="s">
        <v>1161</v>
      </c>
      <c r="O27" s="909">
        <f>'[4]int.kiadások RM I'!L27</f>
        <v>0</v>
      </c>
      <c r="P27" s="904">
        <f>'[4]int.kiadások RM III'!N27</f>
        <v>0</v>
      </c>
      <c r="Q27" s="909"/>
      <c r="R27" s="910"/>
      <c r="S27" s="909">
        <f>'[4]int.kiadások RM I'!O27</f>
        <v>0</v>
      </c>
      <c r="T27" s="909">
        <f>'[4]int.kiadások RM III'!Q27</f>
        <v>0</v>
      </c>
      <c r="U27" s="909"/>
      <c r="V27" s="910"/>
      <c r="W27" s="906">
        <f t="shared" si="3"/>
        <v>94221</v>
      </c>
      <c r="X27" s="906">
        <f t="shared" si="3"/>
        <v>94964</v>
      </c>
      <c r="Y27" s="906">
        <f t="shared" si="3"/>
        <v>89219</v>
      </c>
      <c r="Z27" s="911">
        <f t="shared" si="4"/>
        <v>0.93950339075860323</v>
      </c>
      <c r="AA27" s="908" t="s">
        <v>1161</v>
      </c>
      <c r="AB27" s="909">
        <f>'[4]int.kiadások RM I'!V27</f>
        <v>0</v>
      </c>
      <c r="AC27" s="904">
        <f>'[4]int.kiadások RM III'!X27</f>
        <v>701</v>
      </c>
      <c r="AD27" s="909">
        <v>700</v>
      </c>
      <c r="AE27" s="910">
        <f t="shared" si="5"/>
        <v>0.99857346647646217</v>
      </c>
      <c r="AF27" s="909">
        <f>'[4]int.kiadások RM I'!Y27</f>
        <v>0</v>
      </c>
      <c r="AG27" s="904">
        <f>'[4]int.kiadások RM III'!AA27</f>
        <v>172</v>
      </c>
      <c r="AH27" s="909">
        <v>171</v>
      </c>
      <c r="AI27" s="910">
        <f>AH27/AG27</f>
        <v>0.9941860465116279</v>
      </c>
      <c r="AJ27" s="909">
        <f>'[4]int.kiadások RM I'!AB27</f>
        <v>0</v>
      </c>
      <c r="AK27" s="909">
        <f>'[4]int.kiadások RM III'!AD27</f>
        <v>0</v>
      </c>
      <c r="AL27" s="909"/>
      <c r="AM27" s="910"/>
      <c r="AN27" s="908" t="s">
        <v>1161</v>
      </c>
      <c r="AO27" s="906">
        <f t="shared" si="6"/>
        <v>0</v>
      </c>
      <c r="AP27" s="906">
        <f t="shared" si="6"/>
        <v>873</v>
      </c>
      <c r="AQ27" s="906">
        <f t="shared" si="6"/>
        <v>871</v>
      </c>
      <c r="AR27" s="911">
        <f t="shared" si="7"/>
        <v>0.99770904925544102</v>
      </c>
      <c r="AS27" s="906">
        <f t="shared" si="8"/>
        <v>94221</v>
      </c>
      <c r="AT27" s="906">
        <f t="shared" si="8"/>
        <v>95837</v>
      </c>
      <c r="AU27" s="906">
        <f t="shared" si="8"/>
        <v>90090</v>
      </c>
      <c r="AV27" s="911">
        <f t="shared" si="9"/>
        <v>0.940033598714484</v>
      </c>
      <c r="AW27" s="886"/>
      <c r="AX27" s="886"/>
      <c r="AY27" s="886"/>
      <c r="AZ27" s="886"/>
      <c r="BA27" s="886"/>
      <c r="BB27" s="968"/>
      <c r="BC27" s="968"/>
      <c r="BD27" s="968"/>
      <c r="BE27" s="968"/>
      <c r="BF27" s="968"/>
      <c r="BG27" s="968"/>
      <c r="BH27" s="968"/>
      <c r="BI27" s="968"/>
    </row>
    <row r="28" spans="1:61" s="969" customFormat="1" ht="49.5" customHeight="1" thickBot="1" x14ac:dyDescent="0.75">
      <c r="A28" s="913" t="s">
        <v>1162</v>
      </c>
      <c r="B28" s="914">
        <f>SUM(B10:B27)</f>
        <v>2572481</v>
      </c>
      <c r="C28" s="914">
        <f>SUM(C10:C27)</f>
        <v>2634069</v>
      </c>
      <c r="D28" s="914">
        <f>SUM(D10:D27)</f>
        <v>2532930</v>
      </c>
      <c r="E28" s="915">
        <f t="shared" si="0"/>
        <v>0.96160351152532453</v>
      </c>
      <c r="F28" s="914">
        <f>SUM(F10:F27)</f>
        <v>356513</v>
      </c>
      <c r="G28" s="914">
        <f>SUM(G10:G27)</f>
        <v>364973</v>
      </c>
      <c r="H28" s="914">
        <f>SUM(H10:H27)</f>
        <v>317930</v>
      </c>
      <c r="I28" s="915">
        <f t="shared" si="1"/>
        <v>0.87110553383400968</v>
      </c>
      <c r="J28" s="914">
        <f>SUM(J10:J27)</f>
        <v>53710</v>
      </c>
      <c r="K28" s="914">
        <f>SUM(K10:K27)</f>
        <v>96485</v>
      </c>
      <c r="L28" s="914">
        <f>SUM(L10:L27)</f>
        <v>84361</v>
      </c>
      <c r="M28" s="915">
        <f t="shared" si="2"/>
        <v>0.87434316214955687</v>
      </c>
      <c r="N28" s="913" t="s">
        <v>1162</v>
      </c>
      <c r="O28" s="914">
        <f>SUM(O10:O27)</f>
        <v>0</v>
      </c>
      <c r="P28" s="914">
        <f>SUM(P10:P27)</f>
        <v>0</v>
      </c>
      <c r="Q28" s="914">
        <f>SUM(Q10:Q27)</f>
        <v>0</v>
      </c>
      <c r="R28" s="915"/>
      <c r="S28" s="914">
        <f>SUM(S10:S27)</f>
        <v>0</v>
      </c>
      <c r="T28" s="914">
        <f>SUM(T10:T27)</f>
        <v>0</v>
      </c>
      <c r="U28" s="914">
        <f>SUM(U10:U27)</f>
        <v>0</v>
      </c>
      <c r="V28" s="915"/>
      <c r="W28" s="914">
        <f>SUM(W10:W27)</f>
        <v>2982704</v>
      </c>
      <c r="X28" s="914">
        <f>SUM(X10:X27)</f>
        <v>3095527</v>
      </c>
      <c r="Y28" s="914">
        <f>SUM(Y10:Y27)</f>
        <v>2935221</v>
      </c>
      <c r="Z28" s="915">
        <f t="shared" si="4"/>
        <v>0.94821366442612198</v>
      </c>
      <c r="AA28" s="913" t="s">
        <v>1162</v>
      </c>
      <c r="AB28" s="914">
        <f>SUM(AB10:AB27)</f>
        <v>0</v>
      </c>
      <c r="AC28" s="914">
        <f>SUM(AC10:AC27)</f>
        <v>33698</v>
      </c>
      <c r="AD28" s="914">
        <f>SUM(AD10:AD27)</f>
        <v>23409</v>
      </c>
      <c r="AE28" s="915">
        <f t="shared" si="5"/>
        <v>0.69467030684313613</v>
      </c>
      <c r="AF28" s="914">
        <f>SUM(AF10:AF27)</f>
        <v>0</v>
      </c>
      <c r="AG28" s="914">
        <f>SUM(AG10:AG27)</f>
        <v>12008</v>
      </c>
      <c r="AH28" s="914">
        <f>SUM(AH10:AH27)</f>
        <v>12004</v>
      </c>
      <c r="AI28" s="915">
        <f>AH28/AG28</f>
        <v>0.99966688874083942</v>
      </c>
      <c r="AJ28" s="914">
        <f>SUM(AJ10:AJ27)</f>
        <v>0</v>
      </c>
      <c r="AK28" s="914">
        <f>SUM(AK10:AK27)</f>
        <v>0</v>
      </c>
      <c r="AL28" s="914">
        <f>SUM(AL10:AL27)</f>
        <v>0</v>
      </c>
      <c r="AM28" s="915"/>
      <c r="AN28" s="913" t="s">
        <v>1162</v>
      </c>
      <c r="AO28" s="914">
        <f>SUM(AO10:AO27)</f>
        <v>0</v>
      </c>
      <c r="AP28" s="914">
        <f>SUM(AP10:AP27)</f>
        <v>45706</v>
      </c>
      <c r="AQ28" s="914">
        <f>SUM(AQ10:AQ27)</f>
        <v>35413</v>
      </c>
      <c r="AR28" s="915">
        <f t="shared" si="7"/>
        <v>0.77479980746510302</v>
      </c>
      <c r="AS28" s="914">
        <f>SUM(AS10:AS27)</f>
        <v>2982704</v>
      </c>
      <c r="AT28" s="914">
        <f>SUM(AT10:AT27)</f>
        <v>3141233</v>
      </c>
      <c r="AU28" s="914">
        <f>SUM(AU10:AU27)</f>
        <v>2970634</v>
      </c>
      <c r="AV28" s="915">
        <f t="shared" si="9"/>
        <v>0.94569043429761501</v>
      </c>
      <c r="AW28" s="886"/>
      <c r="AX28" s="886"/>
      <c r="AY28" s="886"/>
      <c r="AZ28" s="886"/>
      <c r="BA28" s="886"/>
      <c r="BB28" s="968"/>
      <c r="BC28" s="968"/>
      <c r="BD28" s="968"/>
      <c r="BE28" s="968"/>
      <c r="BF28" s="968"/>
      <c r="BG28" s="968"/>
      <c r="BH28" s="968"/>
      <c r="BI28" s="968"/>
    </row>
    <row r="29" spans="1:61" s="969" customFormat="1" ht="49.5" customHeight="1" thickBot="1" x14ac:dyDescent="0.75">
      <c r="A29" s="916" t="s">
        <v>115</v>
      </c>
      <c r="B29" s="917">
        <f>'[4]int.kiadások RM I'!B29</f>
        <v>316605</v>
      </c>
      <c r="C29" s="904">
        <f>'[4]int.kiadások RM III'!D29</f>
        <v>300395</v>
      </c>
      <c r="D29" s="917">
        <v>272817</v>
      </c>
      <c r="E29" s="918">
        <f t="shared" si="0"/>
        <v>0.90819421095557518</v>
      </c>
      <c r="F29" s="917">
        <f>'[4]int.kiadások RM I'!E29</f>
        <v>46522</v>
      </c>
      <c r="G29" s="904">
        <f>'[4]int.kiadások RM III'!G29</f>
        <v>40586</v>
      </c>
      <c r="H29" s="917">
        <v>36854</v>
      </c>
      <c r="I29" s="918">
        <f t="shared" si="1"/>
        <v>0.90804710984083181</v>
      </c>
      <c r="J29" s="917">
        <f>'[4]int.kiadások RM I'!H29</f>
        <v>1921278</v>
      </c>
      <c r="K29" s="904">
        <f>'[4]int.kiadások RM III'!J29</f>
        <v>1977063</v>
      </c>
      <c r="L29" s="917">
        <v>1952448</v>
      </c>
      <c r="M29" s="918">
        <f t="shared" si="2"/>
        <v>0.98754971389379098</v>
      </c>
      <c r="N29" s="916" t="s">
        <v>115</v>
      </c>
      <c r="O29" s="917">
        <f>'[4]int.kiadások RM I'!L29</f>
        <v>0</v>
      </c>
      <c r="P29" s="904">
        <f>'[4]int.kiadások RM III'!N29</f>
        <v>0</v>
      </c>
      <c r="Q29" s="917"/>
      <c r="R29" s="918"/>
      <c r="S29" s="917">
        <f>'[4]int.kiadások RM I'!O29</f>
        <v>0</v>
      </c>
      <c r="T29" s="917">
        <f>'[4]int.kiadások RM III'!Q29</f>
        <v>0</v>
      </c>
      <c r="U29" s="917"/>
      <c r="V29" s="918"/>
      <c r="W29" s="906">
        <f>B29+F29+J29+O29+S29</f>
        <v>2284405</v>
      </c>
      <c r="X29" s="906">
        <f>C29+G29+K29+P29+T29</f>
        <v>2318044</v>
      </c>
      <c r="Y29" s="906">
        <f>D29+H29+L29+Q29+U29</f>
        <v>2262119</v>
      </c>
      <c r="Z29" s="915">
        <f t="shared" si="4"/>
        <v>0.97587405588504794</v>
      </c>
      <c r="AA29" s="916" t="s">
        <v>115</v>
      </c>
      <c r="AB29" s="917">
        <f>'[4]int.kiadások RM I'!V29</f>
        <v>0</v>
      </c>
      <c r="AC29" s="904">
        <f>'[4]int.kiadások RM III'!X29</f>
        <v>36946</v>
      </c>
      <c r="AD29" s="917">
        <v>16374</v>
      </c>
      <c r="AE29" s="918">
        <f t="shared" si="5"/>
        <v>0.44318735451740376</v>
      </c>
      <c r="AF29" s="917">
        <f>'[4]int.kiadások RM I'!Y29</f>
        <v>0</v>
      </c>
      <c r="AG29" s="904">
        <f>'[4]int.kiadások RM III'!AA29</f>
        <v>57922</v>
      </c>
      <c r="AH29" s="917">
        <v>29814</v>
      </c>
      <c r="AI29" s="918">
        <f>AH29/AG29</f>
        <v>0.5147267014260557</v>
      </c>
      <c r="AJ29" s="917">
        <f>'[4]int.kiadások RM I'!AB29</f>
        <v>0</v>
      </c>
      <c r="AK29" s="917">
        <f>'[4]int.kiadások RM III'!AD29</f>
        <v>0</v>
      </c>
      <c r="AL29" s="917"/>
      <c r="AM29" s="918"/>
      <c r="AN29" s="916" t="s">
        <v>115</v>
      </c>
      <c r="AO29" s="906">
        <f>AB29+AF29+AJ29</f>
        <v>0</v>
      </c>
      <c r="AP29" s="906">
        <f>AC29+AG29+AK29</f>
        <v>94868</v>
      </c>
      <c r="AQ29" s="906">
        <f>AD29+AH29+AL29</f>
        <v>46188</v>
      </c>
      <c r="AR29" s="915">
        <f t="shared" si="7"/>
        <v>0.48686596112493147</v>
      </c>
      <c r="AS29" s="906">
        <f>W29+AO29</f>
        <v>2284405</v>
      </c>
      <c r="AT29" s="906">
        <f>X29+AP29</f>
        <v>2412912</v>
      </c>
      <c r="AU29" s="906">
        <f>Y29+AQ29</f>
        <v>2308307</v>
      </c>
      <c r="AV29" s="915">
        <f t="shared" si="9"/>
        <v>0.95664781807210542</v>
      </c>
      <c r="AW29" s="886"/>
      <c r="AX29" s="886"/>
      <c r="AY29" s="886"/>
      <c r="AZ29" s="886"/>
      <c r="BA29" s="886"/>
      <c r="BB29" s="968"/>
      <c r="BC29" s="968"/>
      <c r="BD29" s="968"/>
      <c r="BE29" s="968"/>
      <c r="BF29" s="968"/>
      <c r="BG29" s="968"/>
      <c r="BH29" s="968"/>
      <c r="BI29" s="968"/>
    </row>
    <row r="30" spans="1:61" s="969" customFormat="1" ht="49.5" customHeight="1" thickBot="1" x14ac:dyDescent="0.75">
      <c r="A30" s="913" t="s">
        <v>1163</v>
      </c>
      <c r="B30" s="914">
        <f>SUM(B28:B29)</f>
        <v>2889086</v>
      </c>
      <c r="C30" s="914">
        <f>SUM(C28:C29)</f>
        <v>2934464</v>
      </c>
      <c r="D30" s="914">
        <f>SUM(D28:D29)</f>
        <v>2805747</v>
      </c>
      <c r="E30" s="919">
        <f t="shared" si="0"/>
        <v>0.95613611208043447</v>
      </c>
      <c r="F30" s="914">
        <f>SUM(F28:F29)</f>
        <v>403035</v>
      </c>
      <c r="G30" s="914">
        <f>SUM(G28:G29)</f>
        <v>405559</v>
      </c>
      <c r="H30" s="914">
        <f>SUM(H28:H29)</f>
        <v>354784</v>
      </c>
      <c r="I30" s="919">
        <f t="shared" si="1"/>
        <v>0.8748024331848141</v>
      </c>
      <c r="J30" s="914">
        <f>SUM(J28:J29)</f>
        <v>1974988</v>
      </c>
      <c r="K30" s="914">
        <f>SUM(K28:K29)</f>
        <v>2073548</v>
      </c>
      <c r="L30" s="914">
        <f>SUM(L28:L29)</f>
        <v>2036809</v>
      </c>
      <c r="M30" s="919">
        <f t="shared" si="2"/>
        <v>0.98228205954238823</v>
      </c>
      <c r="N30" s="913" t="s">
        <v>1163</v>
      </c>
      <c r="O30" s="914">
        <f>SUM(O28:O29)</f>
        <v>0</v>
      </c>
      <c r="P30" s="914">
        <f>SUM(P28:P29)</f>
        <v>0</v>
      </c>
      <c r="Q30" s="914">
        <f>SUM(Q28:Q29)</f>
        <v>0</v>
      </c>
      <c r="R30" s="919"/>
      <c r="S30" s="914">
        <f>SUM(S28:S29)</f>
        <v>0</v>
      </c>
      <c r="T30" s="914">
        <f>SUM(T28:T29)</f>
        <v>0</v>
      </c>
      <c r="U30" s="914">
        <f>SUM(U28:U29)</f>
        <v>0</v>
      </c>
      <c r="V30" s="919"/>
      <c r="W30" s="914">
        <f>SUM(W28:W29)</f>
        <v>5267109</v>
      </c>
      <c r="X30" s="914">
        <f>SUM(X28:X29)</f>
        <v>5413571</v>
      </c>
      <c r="Y30" s="914">
        <f>SUM(Y28:Y29)</f>
        <v>5197340</v>
      </c>
      <c r="Z30" s="919">
        <f t="shared" si="4"/>
        <v>0.96005760338231461</v>
      </c>
      <c r="AA30" s="913" t="s">
        <v>1163</v>
      </c>
      <c r="AB30" s="914">
        <f>SUM(AB28:AB29)</f>
        <v>0</v>
      </c>
      <c r="AC30" s="914">
        <f>SUM(AC28:AC29)</f>
        <v>70644</v>
      </c>
      <c r="AD30" s="914">
        <f>SUM(AD28:AD29)</f>
        <v>39783</v>
      </c>
      <c r="AE30" s="919">
        <f t="shared" si="5"/>
        <v>0.56314761338542552</v>
      </c>
      <c r="AF30" s="914">
        <f>SUM(AF28:AF29)</f>
        <v>0</v>
      </c>
      <c r="AG30" s="914">
        <f>SUM(AG28:AG29)</f>
        <v>69930</v>
      </c>
      <c r="AH30" s="914">
        <f>SUM(AH28:AH29)</f>
        <v>41818</v>
      </c>
      <c r="AI30" s="919">
        <f>AH30/AG30</f>
        <v>0.59799799799799802</v>
      </c>
      <c r="AJ30" s="914">
        <f>SUM(AJ28:AJ29)</f>
        <v>0</v>
      </c>
      <c r="AK30" s="914">
        <f>SUM(AK28:AK29)</f>
        <v>0</v>
      </c>
      <c r="AL30" s="914">
        <f>SUM(AL28:AL29)</f>
        <v>0</v>
      </c>
      <c r="AM30" s="919"/>
      <c r="AN30" s="913" t="s">
        <v>1163</v>
      </c>
      <c r="AO30" s="914">
        <f>SUM(AO28:AO29)</f>
        <v>0</v>
      </c>
      <c r="AP30" s="914">
        <f>SUM(AP28:AP29)</f>
        <v>140574</v>
      </c>
      <c r="AQ30" s="914">
        <f>SUM(AQ28:AQ29)</f>
        <v>81601</v>
      </c>
      <c r="AR30" s="919">
        <f t="shared" si="7"/>
        <v>0.58048430008394158</v>
      </c>
      <c r="AS30" s="914">
        <f>SUM(AS28:AS29)</f>
        <v>5267109</v>
      </c>
      <c r="AT30" s="914">
        <f>SUM(AT28:AT29)</f>
        <v>5554145</v>
      </c>
      <c r="AU30" s="914">
        <f>SUM(AU28:AU29)</f>
        <v>5278941</v>
      </c>
      <c r="AV30" s="919">
        <f t="shared" si="9"/>
        <v>0.95045069943258598</v>
      </c>
      <c r="AW30" s="886"/>
      <c r="AX30" s="886"/>
      <c r="AY30" s="886"/>
      <c r="AZ30" s="886"/>
      <c r="BA30" s="886"/>
      <c r="BB30" s="968"/>
      <c r="BC30" s="968"/>
      <c r="BD30" s="968"/>
      <c r="BE30" s="968"/>
      <c r="BF30" s="968"/>
      <c r="BG30" s="968"/>
      <c r="BH30" s="968"/>
      <c r="BI30" s="968"/>
    </row>
    <row r="31" spans="1:61" s="969" customFormat="1" ht="49.5" customHeight="1" x14ac:dyDescent="0.7">
      <c r="A31" s="920" t="s">
        <v>1164</v>
      </c>
      <c r="B31" s="921"/>
      <c r="C31" s="921"/>
      <c r="D31" s="921"/>
      <c r="E31" s="921"/>
      <c r="F31" s="921"/>
      <c r="G31" s="921"/>
      <c r="H31" s="921"/>
      <c r="I31" s="921"/>
      <c r="J31" s="921"/>
      <c r="K31" s="921"/>
      <c r="L31" s="921"/>
      <c r="M31" s="921"/>
      <c r="N31" s="920" t="s">
        <v>1164</v>
      </c>
      <c r="O31" s="921"/>
      <c r="P31" s="921"/>
      <c r="Q31" s="921"/>
      <c r="R31" s="921"/>
      <c r="S31" s="921"/>
      <c r="T31" s="921"/>
      <c r="U31" s="921"/>
      <c r="V31" s="921"/>
      <c r="W31" s="921"/>
      <c r="X31" s="921"/>
      <c r="Y31" s="921"/>
      <c r="Z31" s="921"/>
      <c r="AA31" s="920" t="s">
        <v>1164</v>
      </c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0" t="s">
        <v>1164</v>
      </c>
      <c r="AO31" s="921"/>
      <c r="AP31" s="921"/>
      <c r="AQ31" s="921"/>
      <c r="AR31" s="921"/>
      <c r="AS31" s="921"/>
      <c r="AT31" s="921"/>
      <c r="AU31" s="921"/>
      <c r="AV31" s="921"/>
      <c r="AW31" s="886"/>
      <c r="AX31" s="886"/>
      <c r="AY31" s="886"/>
      <c r="AZ31" s="886"/>
      <c r="BA31" s="886"/>
      <c r="BB31" s="968"/>
      <c r="BC31" s="968"/>
      <c r="BD31" s="968"/>
      <c r="BE31" s="968"/>
      <c r="BF31" s="968"/>
      <c r="BG31" s="968"/>
      <c r="BH31" s="968"/>
      <c r="BI31" s="968"/>
    </row>
    <row r="32" spans="1:61" s="969" customFormat="1" ht="49.5" customHeight="1" x14ac:dyDescent="0.7">
      <c r="A32" s="922" t="s">
        <v>1165</v>
      </c>
      <c r="B32" s="921"/>
      <c r="C32" s="921"/>
      <c r="D32" s="921"/>
      <c r="E32" s="921"/>
      <c r="F32" s="921"/>
      <c r="G32" s="921"/>
      <c r="H32" s="921"/>
      <c r="I32" s="921"/>
      <c r="J32" s="921"/>
      <c r="K32" s="921"/>
      <c r="L32" s="921"/>
      <c r="M32" s="921"/>
      <c r="N32" s="922" t="s">
        <v>1165</v>
      </c>
      <c r="O32" s="921"/>
      <c r="P32" s="921"/>
      <c r="Q32" s="921"/>
      <c r="R32" s="921"/>
      <c r="S32" s="921"/>
      <c r="T32" s="921"/>
      <c r="U32" s="921"/>
      <c r="V32" s="921"/>
      <c r="W32" s="921"/>
      <c r="X32" s="921"/>
      <c r="Y32" s="921"/>
      <c r="Z32" s="921"/>
      <c r="AA32" s="922" t="s">
        <v>1165</v>
      </c>
      <c r="AB32" s="921"/>
      <c r="AC32" s="921"/>
      <c r="AD32" s="921"/>
      <c r="AE32" s="921"/>
      <c r="AF32" s="921"/>
      <c r="AG32" s="921"/>
      <c r="AH32" s="921"/>
      <c r="AI32" s="921"/>
      <c r="AJ32" s="921"/>
      <c r="AK32" s="921"/>
      <c r="AL32" s="921"/>
      <c r="AM32" s="921"/>
      <c r="AN32" s="922" t="s">
        <v>1165</v>
      </c>
      <c r="AO32" s="921"/>
      <c r="AP32" s="921"/>
      <c r="AQ32" s="921"/>
      <c r="AR32" s="921"/>
      <c r="AS32" s="921"/>
      <c r="AT32" s="921"/>
      <c r="AU32" s="921"/>
      <c r="AV32" s="921"/>
      <c r="AW32" s="886"/>
      <c r="AX32" s="886"/>
      <c r="AY32" s="886"/>
      <c r="AZ32" s="886"/>
      <c r="BA32" s="886"/>
      <c r="BB32" s="968"/>
      <c r="BC32" s="968"/>
      <c r="BD32" s="968"/>
      <c r="BE32" s="968"/>
      <c r="BF32" s="968"/>
      <c r="BG32" s="968"/>
      <c r="BH32" s="968"/>
      <c r="BI32" s="968"/>
    </row>
    <row r="33" spans="1:61" s="969" customFormat="1" ht="49.5" customHeight="1" x14ac:dyDescent="0.7">
      <c r="A33" s="923" t="s">
        <v>195</v>
      </c>
      <c r="B33" s="904">
        <f>'[4]int.kiadások RM I'!B33</f>
        <v>121993</v>
      </c>
      <c r="C33" s="904">
        <f>'[4]int.kiadások RM III'!D33</f>
        <v>157459</v>
      </c>
      <c r="D33" s="904">
        <v>149530</v>
      </c>
      <c r="E33" s="905">
        <f>D33/C33</f>
        <v>0.94964403432004518</v>
      </c>
      <c r="F33" s="904">
        <f>'[4]int.kiadások RM I'!E33</f>
        <v>15512</v>
      </c>
      <c r="G33" s="904">
        <f>'[4]int.kiadások RM III'!G33</f>
        <v>18529</v>
      </c>
      <c r="H33" s="904">
        <v>16778</v>
      </c>
      <c r="I33" s="905">
        <f>H33/G33</f>
        <v>0.90549948729019381</v>
      </c>
      <c r="J33" s="904">
        <f>'[4]int.kiadások RM I'!H33</f>
        <v>24696</v>
      </c>
      <c r="K33" s="904">
        <f>'[4]int.kiadások RM III'!J33</f>
        <v>94775</v>
      </c>
      <c r="L33" s="904">
        <v>50175</v>
      </c>
      <c r="M33" s="905">
        <f>L33/K33</f>
        <v>0.52941176470588236</v>
      </c>
      <c r="N33" s="923" t="s">
        <v>195</v>
      </c>
      <c r="O33" s="904">
        <f>'[4]int.kiadások RM I'!L33</f>
        <v>0</v>
      </c>
      <c r="P33" s="904">
        <f>'[4]int.kiadások RM III'!N33</f>
        <v>0</v>
      </c>
      <c r="Q33" s="904"/>
      <c r="R33" s="905"/>
      <c r="S33" s="904">
        <f>'[4]int.kiadások RM I'!O33</f>
        <v>0</v>
      </c>
      <c r="T33" s="904">
        <f>'[4]int.kiadások RM III'!Q33</f>
        <v>0</v>
      </c>
      <c r="U33" s="904"/>
      <c r="V33" s="905"/>
      <c r="W33" s="906">
        <f t="shared" ref="W33:Y36" si="10">B33+F33+J33+O33+S33</f>
        <v>162201</v>
      </c>
      <c r="X33" s="906">
        <f t="shared" si="10"/>
        <v>270763</v>
      </c>
      <c r="Y33" s="906">
        <f t="shared" si="10"/>
        <v>216483</v>
      </c>
      <c r="Z33" s="907">
        <f>Y33/X33</f>
        <v>0.79952947780900641</v>
      </c>
      <c r="AA33" s="923" t="s">
        <v>195</v>
      </c>
      <c r="AB33" s="904">
        <f>'[4]int.kiadások RM I'!V33</f>
        <v>0</v>
      </c>
      <c r="AC33" s="904">
        <f>'[4]int.kiadások RM III'!X33</f>
        <v>652</v>
      </c>
      <c r="AD33" s="904">
        <v>651</v>
      </c>
      <c r="AE33" s="905">
        <f>AD33/AC33</f>
        <v>0.99846625766871167</v>
      </c>
      <c r="AF33" s="904">
        <f>'[4]int.kiadások RM I'!Y33</f>
        <v>0</v>
      </c>
      <c r="AG33" s="904">
        <f>'[4]int.kiadások RM III'!AA33</f>
        <v>0</v>
      </c>
      <c r="AH33" s="904"/>
      <c r="AI33" s="905"/>
      <c r="AJ33" s="904">
        <f>'[4]int.kiadások RM I'!AB33</f>
        <v>0</v>
      </c>
      <c r="AK33" s="904">
        <f>'[4]int.kiadások RM III'!AD33</f>
        <v>0</v>
      </c>
      <c r="AL33" s="904"/>
      <c r="AM33" s="905"/>
      <c r="AN33" s="923" t="s">
        <v>195</v>
      </c>
      <c r="AO33" s="906">
        <f t="shared" ref="AO33:AQ36" si="11">AB33+AF33+AJ33</f>
        <v>0</v>
      </c>
      <c r="AP33" s="906">
        <f t="shared" si="11"/>
        <v>652</v>
      </c>
      <c r="AQ33" s="906">
        <f t="shared" si="11"/>
        <v>651</v>
      </c>
      <c r="AR33" s="907">
        <f>AQ33/AP33</f>
        <v>0.99846625766871167</v>
      </c>
      <c r="AS33" s="906">
        <f t="shared" ref="AS33:AU36" si="12">W33+AO33</f>
        <v>162201</v>
      </c>
      <c r="AT33" s="906">
        <f t="shared" si="12"/>
        <v>271415</v>
      </c>
      <c r="AU33" s="906">
        <f>Y33+AQ33</f>
        <v>217134</v>
      </c>
      <c r="AV33" s="907">
        <f>AU33/AT33</f>
        <v>0.80000736878949208</v>
      </c>
      <c r="AW33" s="886"/>
      <c r="AX33" s="886"/>
      <c r="AY33" s="886"/>
      <c r="AZ33" s="886"/>
      <c r="BA33" s="886"/>
      <c r="BB33" s="968"/>
      <c r="BC33" s="968"/>
      <c r="BD33" s="968"/>
      <c r="BE33" s="968"/>
      <c r="BF33" s="968"/>
      <c r="BG33" s="968"/>
      <c r="BH33" s="968"/>
      <c r="BI33" s="968"/>
    </row>
    <row r="34" spans="1:61" s="969" customFormat="1" ht="49.5" customHeight="1" x14ac:dyDescent="0.7">
      <c r="A34" s="924" t="s">
        <v>1166</v>
      </c>
      <c r="B34" s="925">
        <f>'[4]int.kiadások RM I'!B34</f>
        <v>430541</v>
      </c>
      <c r="C34" s="904">
        <f>'[4]int.kiadások RM III'!D34</f>
        <v>604325</v>
      </c>
      <c r="D34" s="925">
        <v>540952</v>
      </c>
      <c r="E34" s="905">
        <f>D34/C34</f>
        <v>0.8951342406817524</v>
      </c>
      <c r="F34" s="925">
        <f>'[4]int.kiadások RM I'!E34</f>
        <v>55305</v>
      </c>
      <c r="G34" s="904">
        <f>'[4]int.kiadások RM III'!G34</f>
        <v>76987</v>
      </c>
      <c r="H34" s="904">
        <v>52065</v>
      </c>
      <c r="I34" s="905">
        <f>H34/G34</f>
        <v>0.67628300881967085</v>
      </c>
      <c r="J34" s="925">
        <f>'[4]int.kiadások RM I'!H34</f>
        <v>71469</v>
      </c>
      <c r="K34" s="904">
        <f>'[4]int.kiadások RM III'!J34</f>
        <v>365501</v>
      </c>
      <c r="L34" s="925">
        <v>205561</v>
      </c>
      <c r="M34" s="905">
        <f>L34/K34</f>
        <v>0.56240885797850071</v>
      </c>
      <c r="N34" s="924" t="s">
        <v>1166</v>
      </c>
      <c r="O34" s="925">
        <f>'[4]int.kiadások RM I'!L34</f>
        <v>0</v>
      </c>
      <c r="P34" s="904">
        <f>'[4]int.kiadások RM III'!N34</f>
        <v>0</v>
      </c>
      <c r="Q34" s="925"/>
      <c r="R34" s="905"/>
      <c r="S34" s="925">
        <f>'[4]int.kiadások RM I'!O34</f>
        <v>0</v>
      </c>
      <c r="T34" s="925">
        <f>'[4]int.kiadások RM III'!Q34</f>
        <v>0</v>
      </c>
      <c r="U34" s="925"/>
      <c r="V34" s="905"/>
      <c r="W34" s="906">
        <f t="shared" si="10"/>
        <v>557315</v>
      </c>
      <c r="X34" s="906">
        <f t="shared" si="10"/>
        <v>1046813</v>
      </c>
      <c r="Y34" s="906">
        <f t="shared" si="10"/>
        <v>798578</v>
      </c>
      <c r="Z34" s="907">
        <f>Y34/X34</f>
        <v>0.76286595600169271</v>
      </c>
      <c r="AA34" s="924" t="s">
        <v>1166</v>
      </c>
      <c r="AB34" s="925">
        <f>'[4]int.kiadások RM I'!V34</f>
        <v>0</v>
      </c>
      <c r="AC34" s="904">
        <f>'[4]int.kiadások RM III'!X34</f>
        <v>74562</v>
      </c>
      <c r="AD34" s="925">
        <v>72276</v>
      </c>
      <c r="AE34" s="905">
        <f>AD34/AC34</f>
        <v>0.96934095115474372</v>
      </c>
      <c r="AF34" s="925">
        <f>'[4]int.kiadások RM I'!Y34</f>
        <v>0</v>
      </c>
      <c r="AG34" s="904">
        <f>'[4]int.kiadások RM III'!AA34</f>
        <v>0</v>
      </c>
      <c r="AH34" s="925"/>
      <c r="AI34" s="905"/>
      <c r="AJ34" s="925">
        <f>'[4]int.kiadások RM I'!AB34</f>
        <v>0</v>
      </c>
      <c r="AK34" s="925">
        <f>'[4]int.kiadások RM III'!AD34</f>
        <v>0</v>
      </c>
      <c r="AL34" s="925"/>
      <c r="AM34" s="905"/>
      <c r="AN34" s="924" t="s">
        <v>1166</v>
      </c>
      <c r="AO34" s="906">
        <f t="shared" si="11"/>
        <v>0</v>
      </c>
      <c r="AP34" s="906">
        <f t="shared" si="11"/>
        <v>74562</v>
      </c>
      <c r="AQ34" s="906">
        <f t="shared" si="11"/>
        <v>72276</v>
      </c>
      <c r="AR34" s="907">
        <f>AQ34/AP34</f>
        <v>0.96934095115474372</v>
      </c>
      <c r="AS34" s="906">
        <f t="shared" si="12"/>
        <v>557315</v>
      </c>
      <c r="AT34" s="906">
        <f t="shared" si="12"/>
        <v>1121375</v>
      </c>
      <c r="AU34" s="906">
        <f t="shared" si="12"/>
        <v>870854</v>
      </c>
      <c r="AV34" s="907">
        <f>AU34/AT34</f>
        <v>0.77659480548433846</v>
      </c>
      <c r="AW34" s="886"/>
      <c r="AX34" s="886"/>
      <c r="AY34" s="886"/>
      <c r="AZ34" s="886"/>
      <c r="BA34" s="886"/>
      <c r="BB34" s="968"/>
      <c r="BC34" s="968"/>
      <c r="BD34" s="968"/>
      <c r="BE34" s="968"/>
      <c r="BF34" s="968"/>
      <c r="BG34" s="968"/>
      <c r="BH34" s="968"/>
      <c r="BI34" s="968"/>
    </row>
    <row r="35" spans="1:61" s="969" customFormat="1" ht="49.5" customHeight="1" x14ac:dyDescent="0.7">
      <c r="A35" s="924" t="s">
        <v>414</v>
      </c>
      <c r="B35" s="925">
        <f>'[4]int.kiadások RM I'!B35</f>
        <v>224567</v>
      </c>
      <c r="C35" s="904">
        <f>'[4]int.kiadások RM III'!D35</f>
        <v>279658</v>
      </c>
      <c r="D35" s="925">
        <v>266949</v>
      </c>
      <c r="E35" s="905">
        <f>D35/C35</f>
        <v>0.95455520671677552</v>
      </c>
      <c r="F35" s="925">
        <f>'[4]int.kiadások RM I'!E35</f>
        <v>28930</v>
      </c>
      <c r="G35" s="904">
        <f>'[4]int.kiadások RM III'!G35</f>
        <v>38720</v>
      </c>
      <c r="H35" s="904">
        <v>36819</v>
      </c>
      <c r="I35" s="905">
        <f>H35/G35</f>
        <v>0.95090392561983472</v>
      </c>
      <c r="J35" s="925">
        <f>'[4]int.kiadások RM I'!H35</f>
        <v>62387</v>
      </c>
      <c r="K35" s="904">
        <f>'[4]int.kiadások RM III'!J35</f>
        <v>251096</v>
      </c>
      <c r="L35" s="925">
        <v>237081</v>
      </c>
      <c r="M35" s="905">
        <f>L35/K35</f>
        <v>0.94418469430018792</v>
      </c>
      <c r="N35" s="924" t="s">
        <v>414</v>
      </c>
      <c r="O35" s="925">
        <f>'[4]int.kiadások RM I'!L35</f>
        <v>0</v>
      </c>
      <c r="P35" s="904">
        <f>'[4]int.kiadások RM III'!N35</f>
        <v>0</v>
      </c>
      <c r="Q35" s="925"/>
      <c r="R35" s="905"/>
      <c r="S35" s="925">
        <f>'[4]int.kiadások RM I'!O35</f>
        <v>0</v>
      </c>
      <c r="T35" s="925">
        <f>'[4]int.kiadások RM III'!Q35</f>
        <v>0</v>
      </c>
      <c r="U35" s="925"/>
      <c r="V35" s="905"/>
      <c r="W35" s="906">
        <f t="shared" si="10"/>
        <v>315884</v>
      </c>
      <c r="X35" s="906">
        <f t="shared" si="10"/>
        <v>569474</v>
      </c>
      <c r="Y35" s="906">
        <f t="shared" si="10"/>
        <v>540849</v>
      </c>
      <c r="Z35" s="907">
        <f>Y35/X35</f>
        <v>0.94973431622866011</v>
      </c>
      <c r="AA35" s="924" t="s">
        <v>414</v>
      </c>
      <c r="AB35" s="925">
        <f>'[4]int.kiadások RM I'!V35</f>
        <v>0</v>
      </c>
      <c r="AC35" s="904">
        <f>'[4]int.kiadások RM III'!X35</f>
        <v>17042</v>
      </c>
      <c r="AD35" s="925">
        <v>17041</v>
      </c>
      <c r="AE35" s="905">
        <f>AD35/AC35</f>
        <v>0.99994132144114545</v>
      </c>
      <c r="AF35" s="925">
        <f>'[4]int.kiadások RM I'!Y35</f>
        <v>0</v>
      </c>
      <c r="AG35" s="904">
        <f>'[4]int.kiadások RM III'!AA35</f>
        <v>0</v>
      </c>
      <c r="AH35" s="925"/>
      <c r="AI35" s="905"/>
      <c r="AJ35" s="925">
        <f>'[4]int.kiadások RM I'!AB35</f>
        <v>0</v>
      </c>
      <c r="AK35" s="925">
        <f>'[4]int.kiadások RM III'!AD35</f>
        <v>0</v>
      </c>
      <c r="AL35" s="925"/>
      <c r="AM35" s="905"/>
      <c r="AN35" s="924" t="s">
        <v>414</v>
      </c>
      <c r="AO35" s="906">
        <f t="shared" si="11"/>
        <v>0</v>
      </c>
      <c r="AP35" s="906">
        <f t="shared" si="11"/>
        <v>17042</v>
      </c>
      <c r="AQ35" s="906">
        <f t="shared" si="11"/>
        <v>17041</v>
      </c>
      <c r="AR35" s="907">
        <f>AQ35/AP35</f>
        <v>0.99994132144114545</v>
      </c>
      <c r="AS35" s="906">
        <f t="shared" si="12"/>
        <v>315884</v>
      </c>
      <c r="AT35" s="906">
        <f t="shared" si="12"/>
        <v>586516</v>
      </c>
      <c r="AU35" s="906">
        <f>Y35+AQ35</f>
        <v>557890</v>
      </c>
      <c r="AV35" s="907">
        <f>AU35/AT35</f>
        <v>0.95119314733101912</v>
      </c>
      <c r="AW35" s="886"/>
      <c r="AX35" s="886"/>
      <c r="AY35" s="886"/>
      <c r="AZ35" s="886"/>
      <c r="BA35" s="886"/>
      <c r="BB35" s="968"/>
      <c r="BC35" s="968"/>
      <c r="BD35" s="968"/>
      <c r="BE35" s="968"/>
      <c r="BF35" s="968"/>
      <c r="BG35" s="968"/>
      <c r="BH35" s="968"/>
      <c r="BI35" s="968"/>
    </row>
    <row r="36" spans="1:61" s="969" customFormat="1" ht="49.5" customHeight="1" thickBot="1" x14ac:dyDescent="0.75">
      <c r="A36" s="926" t="s">
        <v>1167</v>
      </c>
      <c r="B36" s="925">
        <f>'[4]int.kiadások RM I'!B36</f>
        <v>481069</v>
      </c>
      <c r="C36" s="904">
        <f>'[4]int.kiadások RM III'!D36</f>
        <v>561733</v>
      </c>
      <c r="D36" s="925">
        <v>536487</v>
      </c>
      <c r="E36" s="910">
        <f>D36/C36</f>
        <v>0.95505693986288864</v>
      </c>
      <c r="F36" s="925">
        <f>'[4]int.kiadások RM I'!E36</f>
        <v>61858</v>
      </c>
      <c r="G36" s="904">
        <f>'[4]int.kiadások RM III'!G36</f>
        <v>72265</v>
      </c>
      <c r="H36" s="925">
        <v>67628</v>
      </c>
      <c r="I36" s="910">
        <f>H36/G36</f>
        <v>0.93583339099148966</v>
      </c>
      <c r="J36" s="925">
        <f>'[4]int.kiadások RM I'!H36</f>
        <v>228376</v>
      </c>
      <c r="K36" s="904">
        <f>'[4]int.kiadások RM III'!J36</f>
        <v>380613</v>
      </c>
      <c r="L36" s="925">
        <v>238095</v>
      </c>
      <c r="M36" s="910">
        <f>L36/K36</f>
        <v>0.62555666779642316</v>
      </c>
      <c r="N36" s="926" t="s">
        <v>1167</v>
      </c>
      <c r="O36" s="925">
        <f>'[4]int.kiadások RM I'!L36</f>
        <v>0</v>
      </c>
      <c r="P36" s="904">
        <f>'[4]int.kiadások RM III'!N36</f>
        <v>0</v>
      </c>
      <c r="Q36" s="925"/>
      <c r="R36" s="910"/>
      <c r="S36" s="925">
        <f>'[4]int.kiadások RM I'!O36</f>
        <v>0</v>
      </c>
      <c r="T36" s="925">
        <f>'[4]int.kiadások RM III'!Q36</f>
        <v>0</v>
      </c>
      <c r="U36" s="925"/>
      <c r="V36" s="910"/>
      <c r="W36" s="906">
        <f t="shared" si="10"/>
        <v>771303</v>
      </c>
      <c r="X36" s="906">
        <f t="shared" si="10"/>
        <v>1014611</v>
      </c>
      <c r="Y36" s="906">
        <f t="shared" si="10"/>
        <v>842210</v>
      </c>
      <c r="Z36" s="911">
        <f>Y36/X36</f>
        <v>0.83008167662286336</v>
      </c>
      <c r="AA36" s="926" t="s">
        <v>1167</v>
      </c>
      <c r="AB36" s="925">
        <f>'[4]int.kiadások RM I'!V36</f>
        <v>0</v>
      </c>
      <c r="AC36" s="904">
        <f>'[4]int.kiadások RM III'!X36</f>
        <v>17571</v>
      </c>
      <c r="AD36" s="925">
        <v>11920</v>
      </c>
      <c r="AE36" s="910">
        <f>AD36/AC36</f>
        <v>0.67839052985032156</v>
      </c>
      <c r="AF36" s="925">
        <f>'[4]int.kiadások RM I'!Y36</f>
        <v>0</v>
      </c>
      <c r="AG36" s="904">
        <f>'[4]int.kiadások RM III'!AA36</f>
        <v>0</v>
      </c>
      <c r="AH36" s="925"/>
      <c r="AI36" s="910"/>
      <c r="AJ36" s="925">
        <f>'[4]int.kiadások RM I'!AB36</f>
        <v>0</v>
      </c>
      <c r="AK36" s="925">
        <f>'[4]int.kiadások RM III'!AD36</f>
        <v>0</v>
      </c>
      <c r="AL36" s="925"/>
      <c r="AM36" s="910"/>
      <c r="AN36" s="926" t="s">
        <v>1167</v>
      </c>
      <c r="AO36" s="906">
        <f t="shared" si="11"/>
        <v>0</v>
      </c>
      <c r="AP36" s="906">
        <f t="shared" si="11"/>
        <v>17571</v>
      </c>
      <c r="AQ36" s="906">
        <f t="shared" si="11"/>
        <v>11920</v>
      </c>
      <c r="AR36" s="911">
        <f>AQ36/AP36</f>
        <v>0.67839052985032156</v>
      </c>
      <c r="AS36" s="906">
        <f t="shared" si="12"/>
        <v>771303</v>
      </c>
      <c r="AT36" s="906">
        <f t="shared" si="12"/>
        <v>1032182</v>
      </c>
      <c r="AU36" s="906">
        <f t="shared" si="12"/>
        <v>854130</v>
      </c>
      <c r="AV36" s="911">
        <f>AU36/AT36</f>
        <v>0.82749941386305903</v>
      </c>
      <c r="AW36" s="886"/>
      <c r="AX36" s="886"/>
      <c r="AY36" s="886"/>
      <c r="AZ36" s="886"/>
      <c r="BA36" s="886"/>
      <c r="BB36" s="968"/>
      <c r="BC36" s="968"/>
      <c r="BD36" s="968"/>
      <c r="BE36" s="968"/>
      <c r="BF36" s="968"/>
      <c r="BG36" s="968"/>
      <c r="BH36" s="968"/>
      <c r="BI36" s="968"/>
    </row>
    <row r="37" spans="1:61" s="969" customFormat="1" ht="49.5" customHeight="1" thickBot="1" x14ac:dyDescent="0.75">
      <c r="A37" s="927" t="s">
        <v>1168</v>
      </c>
      <c r="B37" s="914">
        <f>SUM(B33:B36)</f>
        <v>1258170</v>
      </c>
      <c r="C37" s="914">
        <f>SUM(C33:C36)</f>
        <v>1603175</v>
      </c>
      <c r="D37" s="914">
        <f>SUM(D33:D36)</f>
        <v>1493918</v>
      </c>
      <c r="E37" s="915">
        <f>D37/C37</f>
        <v>0.93184961092831409</v>
      </c>
      <c r="F37" s="914">
        <f>SUM(F33:F36)</f>
        <v>161605</v>
      </c>
      <c r="G37" s="914">
        <f>SUM(G33:G36)</f>
        <v>206501</v>
      </c>
      <c r="H37" s="914">
        <f>SUM(H33:H36)</f>
        <v>173290</v>
      </c>
      <c r="I37" s="915">
        <f>H37/G37</f>
        <v>0.8391726916576675</v>
      </c>
      <c r="J37" s="914">
        <f>SUM(J33:J36)</f>
        <v>386928</v>
      </c>
      <c r="K37" s="914">
        <f>SUM(K33:K36)</f>
        <v>1091985</v>
      </c>
      <c r="L37" s="914">
        <f>SUM(L33:L36)</f>
        <v>730912</v>
      </c>
      <c r="M37" s="915">
        <f>L37/K37</f>
        <v>0.66934252759882229</v>
      </c>
      <c r="N37" s="927" t="s">
        <v>1168</v>
      </c>
      <c r="O37" s="914">
        <f>SUM(O33:O36)</f>
        <v>0</v>
      </c>
      <c r="P37" s="914">
        <f>SUM(P33:P36)</f>
        <v>0</v>
      </c>
      <c r="Q37" s="914">
        <f>SUM(Q33:Q36)</f>
        <v>0</v>
      </c>
      <c r="R37" s="915"/>
      <c r="S37" s="914">
        <f>SUM(S33:S36)</f>
        <v>0</v>
      </c>
      <c r="T37" s="914">
        <f>SUM(T33:T36)</f>
        <v>0</v>
      </c>
      <c r="U37" s="914">
        <f>SUM(U33:U36)</f>
        <v>0</v>
      </c>
      <c r="V37" s="915"/>
      <c r="W37" s="914">
        <f>SUM(W33:W36)</f>
        <v>1806703</v>
      </c>
      <c r="X37" s="914">
        <f>SUM(X33:X36)</f>
        <v>2901661</v>
      </c>
      <c r="Y37" s="914">
        <f>SUM(Y33:Y36)</f>
        <v>2398120</v>
      </c>
      <c r="Z37" s="915">
        <f>Y37/X37</f>
        <v>0.826464566329423</v>
      </c>
      <c r="AA37" s="927" t="s">
        <v>1168</v>
      </c>
      <c r="AB37" s="914">
        <f>SUM(AB33:AB36)</f>
        <v>0</v>
      </c>
      <c r="AC37" s="914">
        <f>SUM(AC33:AC36)</f>
        <v>109827</v>
      </c>
      <c r="AD37" s="914">
        <f>SUM(AD33:AD36)</f>
        <v>101888</v>
      </c>
      <c r="AE37" s="915">
        <f>AD37/AC37</f>
        <v>0.9277135859123895</v>
      </c>
      <c r="AF37" s="914">
        <f>SUM(AF33:AF36)</f>
        <v>0</v>
      </c>
      <c r="AG37" s="914">
        <f>SUM(AG33:AG36)</f>
        <v>0</v>
      </c>
      <c r="AH37" s="914">
        <f>SUM(AH33:AH36)</f>
        <v>0</v>
      </c>
      <c r="AI37" s="915"/>
      <c r="AJ37" s="914">
        <f>SUM(AJ33:AJ36)</f>
        <v>0</v>
      </c>
      <c r="AK37" s="914">
        <f>SUM(AK33:AK36)</f>
        <v>0</v>
      </c>
      <c r="AL37" s="914">
        <f>SUM(AL33:AL36)</f>
        <v>0</v>
      </c>
      <c r="AM37" s="915"/>
      <c r="AN37" s="927" t="s">
        <v>1168</v>
      </c>
      <c r="AO37" s="914">
        <f>SUM(AO33:AO36)</f>
        <v>0</v>
      </c>
      <c r="AP37" s="914">
        <f>SUM(AP33:AP36)</f>
        <v>109827</v>
      </c>
      <c r="AQ37" s="914">
        <f>SUM(AQ33:AQ36)</f>
        <v>101888</v>
      </c>
      <c r="AR37" s="915">
        <f>AQ37/AP37</f>
        <v>0.9277135859123895</v>
      </c>
      <c r="AS37" s="914">
        <f>SUM(AS33:AS36)</f>
        <v>1806703</v>
      </c>
      <c r="AT37" s="914">
        <f>SUM(AT33:AT36)</f>
        <v>3011488</v>
      </c>
      <c r="AU37" s="914">
        <f>SUM(AU33:AU36)</f>
        <v>2500008</v>
      </c>
      <c r="AV37" s="915">
        <f>AU37/AT37</f>
        <v>0.83015705192914602</v>
      </c>
      <c r="AW37" s="886"/>
      <c r="AX37" s="886"/>
      <c r="AY37" s="886"/>
      <c r="AZ37" s="886"/>
      <c r="BA37" s="886"/>
      <c r="BB37" s="968"/>
      <c r="BC37" s="968"/>
      <c r="BD37" s="968"/>
      <c r="BE37" s="968"/>
      <c r="BF37" s="968"/>
      <c r="BG37" s="968"/>
      <c r="BH37" s="968"/>
      <c r="BI37" s="968"/>
    </row>
    <row r="38" spans="1:61" s="969" customFormat="1" ht="49.5" customHeight="1" x14ac:dyDescent="0.7">
      <c r="A38" s="928" t="s">
        <v>1169</v>
      </c>
      <c r="B38" s="902"/>
      <c r="C38" s="902"/>
      <c r="D38" s="902"/>
      <c r="E38" s="902"/>
      <c r="F38" s="902"/>
      <c r="G38" s="902"/>
      <c r="H38" s="902"/>
      <c r="I38" s="902"/>
      <c r="J38" s="902"/>
      <c r="K38" s="902"/>
      <c r="L38" s="902"/>
      <c r="M38" s="902"/>
      <c r="N38" s="928" t="s">
        <v>1169</v>
      </c>
      <c r="O38" s="902"/>
      <c r="P38" s="902"/>
      <c r="Q38" s="902"/>
      <c r="R38" s="902"/>
      <c r="S38" s="902"/>
      <c r="T38" s="902"/>
      <c r="U38" s="902"/>
      <c r="V38" s="902"/>
      <c r="W38" s="902"/>
      <c r="X38" s="902"/>
      <c r="Y38" s="902"/>
      <c r="Z38" s="902"/>
      <c r="AA38" s="928" t="s">
        <v>1169</v>
      </c>
      <c r="AB38" s="902"/>
      <c r="AC38" s="902"/>
      <c r="AD38" s="902"/>
      <c r="AE38" s="902"/>
      <c r="AF38" s="902"/>
      <c r="AG38" s="902"/>
      <c r="AH38" s="902"/>
      <c r="AI38" s="902"/>
      <c r="AJ38" s="902"/>
      <c r="AK38" s="902"/>
      <c r="AL38" s="902"/>
      <c r="AM38" s="902"/>
      <c r="AN38" s="928" t="s">
        <v>1169</v>
      </c>
      <c r="AO38" s="902"/>
      <c r="AP38" s="902"/>
      <c r="AQ38" s="902"/>
      <c r="AR38" s="902"/>
      <c r="AS38" s="902"/>
      <c r="AT38" s="902"/>
      <c r="AU38" s="902"/>
      <c r="AV38" s="902"/>
      <c r="AW38" s="886"/>
      <c r="AX38" s="886"/>
      <c r="AY38" s="886"/>
      <c r="AZ38" s="886"/>
      <c r="BA38" s="886"/>
      <c r="BB38" s="968"/>
      <c r="BC38" s="968"/>
      <c r="BD38" s="968"/>
      <c r="BE38" s="968"/>
      <c r="BF38" s="968"/>
      <c r="BG38" s="968"/>
      <c r="BH38" s="968"/>
      <c r="BI38" s="968"/>
    </row>
    <row r="39" spans="1:61" s="965" customFormat="1" ht="99" customHeight="1" thickBot="1" x14ac:dyDescent="0.75">
      <c r="A39" s="923" t="s">
        <v>548</v>
      </c>
      <c r="B39" s="904">
        <f>'[4]int.kiadások RM I'!B39</f>
        <v>874789</v>
      </c>
      <c r="C39" s="904">
        <f>'[4]int.kiadások RM III'!D39</f>
        <v>1065871</v>
      </c>
      <c r="D39" s="904">
        <v>1055955</v>
      </c>
      <c r="E39" s="929">
        <f>D39/C39</f>
        <v>0.9906968104020093</v>
      </c>
      <c r="F39" s="904">
        <f>'[4]int.kiadások RM I'!E39</f>
        <v>139323</v>
      </c>
      <c r="G39" s="904">
        <f>'[4]int.kiadások RM III'!G39</f>
        <v>151853</v>
      </c>
      <c r="H39" s="904">
        <v>146156</v>
      </c>
      <c r="I39" s="929">
        <f>H39/G39</f>
        <v>0.96248345439339356</v>
      </c>
      <c r="J39" s="904">
        <f>'[4]int.kiadások RM I'!H39</f>
        <v>543223</v>
      </c>
      <c r="K39" s="904">
        <f>'[4]int.kiadások RM III'!J39</f>
        <v>625996</v>
      </c>
      <c r="L39" s="904">
        <v>605233</v>
      </c>
      <c r="M39" s="929">
        <f>L39/K39</f>
        <v>0.96683205643486536</v>
      </c>
      <c r="N39" s="923" t="s">
        <v>548</v>
      </c>
      <c r="O39" s="904">
        <f>'[4]int.kiadások RM I'!L39</f>
        <v>0</v>
      </c>
      <c r="P39" s="904">
        <f>'[4]int.kiadások RM III'!N39</f>
        <v>0</v>
      </c>
      <c r="Q39" s="904"/>
      <c r="R39" s="929"/>
      <c r="S39" s="904">
        <f>'[4]int.kiadások RM I'!O39</f>
        <v>0</v>
      </c>
      <c r="T39" s="904">
        <f>'[4]int.kiadások RM III'!Q39</f>
        <v>70</v>
      </c>
      <c r="U39" s="904">
        <v>70</v>
      </c>
      <c r="V39" s="929">
        <f>U39/T39</f>
        <v>1</v>
      </c>
      <c r="W39" s="906">
        <f>B39+F39+J39+O39+S39</f>
        <v>1557335</v>
      </c>
      <c r="X39" s="906">
        <f>C39+G39+K39+P39+T39</f>
        <v>1843790</v>
      </c>
      <c r="Y39" s="906">
        <f>D39+H39+L39+Q39+U39</f>
        <v>1807414</v>
      </c>
      <c r="Z39" s="919">
        <f>Y39/X39</f>
        <v>0.9802710720852158</v>
      </c>
      <c r="AA39" s="923" t="s">
        <v>548</v>
      </c>
      <c r="AB39" s="904">
        <f>'[4]int.kiadások RM I'!V39</f>
        <v>0</v>
      </c>
      <c r="AC39" s="904">
        <f>'[4]int.kiadások RM III'!X39</f>
        <v>27779</v>
      </c>
      <c r="AD39" s="904">
        <v>25427</v>
      </c>
      <c r="AE39" s="929">
        <f>AD39/AC39</f>
        <v>0.91533172540408225</v>
      </c>
      <c r="AF39" s="904">
        <f>'[4]int.kiadások RM I'!Y39</f>
        <v>0</v>
      </c>
      <c r="AG39" s="904">
        <f>'[4]int.kiadások RM III'!AA39</f>
        <v>82101</v>
      </c>
      <c r="AH39" s="904">
        <v>57939</v>
      </c>
      <c r="AI39" s="929">
        <f>AH39/AG39</f>
        <v>0.70570395001278907</v>
      </c>
      <c r="AJ39" s="904">
        <f>'[4]int.kiadások RM I'!AB39</f>
        <v>0</v>
      </c>
      <c r="AK39" s="904">
        <f>'[4]int.kiadások RM III'!AD39</f>
        <v>0</v>
      </c>
      <c r="AL39" s="904"/>
      <c r="AM39" s="929"/>
      <c r="AN39" s="923" t="s">
        <v>548</v>
      </c>
      <c r="AO39" s="906">
        <f>AB39+AF39+AJ39</f>
        <v>0</v>
      </c>
      <c r="AP39" s="906">
        <f>AC39+AG39+AK39</f>
        <v>109880</v>
      </c>
      <c r="AQ39" s="906">
        <f>AD39+AH39+AL39</f>
        <v>83366</v>
      </c>
      <c r="AR39" s="919">
        <f>AQ39/AP39</f>
        <v>0.75870040043684017</v>
      </c>
      <c r="AS39" s="906">
        <f>W39+AO39</f>
        <v>1557335</v>
      </c>
      <c r="AT39" s="906">
        <f>X39+AP39</f>
        <v>1953670</v>
      </c>
      <c r="AU39" s="906">
        <f>Y39+AQ39</f>
        <v>1890780</v>
      </c>
      <c r="AV39" s="919">
        <f>AU39/AT39</f>
        <v>0.96780930249223251</v>
      </c>
      <c r="AW39" s="897"/>
      <c r="AX39" s="897"/>
      <c r="AY39" s="897"/>
      <c r="AZ39" s="897"/>
      <c r="BA39" s="897"/>
      <c r="BB39" s="964"/>
      <c r="BC39" s="964"/>
      <c r="BD39" s="964"/>
      <c r="BE39" s="964"/>
      <c r="BF39" s="964"/>
      <c r="BG39" s="964"/>
      <c r="BH39" s="964"/>
      <c r="BI39" s="964"/>
    </row>
    <row r="40" spans="1:61" s="969" customFormat="1" ht="49.5" customHeight="1" x14ac:dyDescent="0.7">
      <c r="A40" s="928" t="s">
        <v>1170</v>
      </c>
      <c r="B40" s="902"/>
      <c r="C40" s="902"/>
      <c r="D40" s="902"/>
      <c r="E40" s="911"/>
      <c r="F40" s="902"/>
      <c r="G40" s="902"/>
      <c r="H40" s="902"/>
      <c r="I40" s="911"/>
      <c r="J40" s="902"/>
      <c r="K40" s="902"/>
      <c r="L40" s="902"/>
      <c r="M40" s="911"/>
      <c r="N40" s="928" t="s">
        <v>1170</v>
      </c>
      <c r="O40" s="902"/>
      <c r="P40" s="902"/>
      <c r="Q40" s="902"/>
      <c r="R40" s="911"/>
      <c r="S40" s="902"/>
      <c r="T40" s="902"/>
      <c r="U40" s="902"/>
      <c r="V40" s="911"/>
      <c r="W40" s="902"/>
      <c r="X40" s="902"/>
      <c r="Y40" s="902"/>
      <c r="Z40" s="911"/>
      <c r="AA40" s="928" t="s">
        <v>1170</v>
      </c>
      <c r="AB40" s="902"/>
      <c r="AC40" s="902"/>
      <c r="AD40" s="902"/>
      <c r="AE40" s="911"/>
      <c r="AF40" s="902"/>
      <c r="AG40" s="902"/>
      <c r="AH40" s="902"/>
      <c r="AI40" s="911"/>
      <c r="AJ40" s="902"/>
      <c r="AK40" s="902"/>
      <c r="AL40" s="902"/>
      <c r="AM40" s="911"/>
      <c r="AN40" s="928" t="s">
        <v>1170</v>
      </c>
      <c r="AO40" s="902"/>
      <c r="AP40" s="902"/>
      <c r="AQ40" s="902"/>
      <c r="AR40" s="911"/>
      <c r="AS40" s="902"/>
      <c r="AT40" s="902"/>
      <c r="AU40" s="902"/>
      <c r="AV40" s="911"/>
      <c r="AW40" s="886"/>
      <c r="AX40" s="886"/>
      <c r="AY40" s="886"/>
      <c r="AZ40" s="886"/>
      <c r="BA40" s="886"/>
      <c r="BB40" s="968"/>
      <c r="BC40" s="968"/>
      <c r="BD40" s="968"/>
      <c r="BE40" s="968"/>
      <c r="BF40" s="968"/>
      <c r="BG40" s="968"/>
      <c r="BH40" s="968"/>
      <c r="BI40" s="968"/>
    </row>
    <row r="41" spans="1:61" s="969" customFormat="1" ht="49.5" customHeight="1" thickBot="1" x14ac:dyDescent="0.75">
      <c r="A41" s="932" t="s">
        <v>1171</v>
      </c>
      <c r="B41" s="931">
        <f>'[4]int.kiadások RM I'!B41</f>
        <v>567632</v>
      </c>
      <c r="C41" s="904">
        <f>'[4]int.kiadások RM III'!D41</f>
        <v>679233</v>
      </c>
      <c r="D41" s="904">
        <v>610605</v>
      </c>
      <c r="E41" s="905">
        <f>D41/C41</f>
        <v>0.89896250623865448</v>
      </c>
      <c r="F41" s="931">
        <f>'[4]int.kiadások RM I'!E41</f>
        <v>80907</v>
      </c>
      <c r="G41" s="904">
        <f>'[4]int.kiadások RM III'!G41</f>
        <v>101567</v>
      </c>
      <c r="H41" s="931">
        <v>86978</v>
      </c>
      <c r="I41" s="905">
        <f>H41/G41</f>
        <v>0.8563608258587927</v>
      </c>
      <c r="J41" s="931">
        <f>'[4]int.kiadások RM I'!H41</f>
        <v>218674</v>
      </c>
      <c r="K41" s="904">
        <f>'[4]int.kiadások RM III'!J41</f>
        <v>327730</v>
      </c>
      <c r="L41" s="931">
        <v>185676</v>
      </c>
      <c r="M41" s="905">
        <f>L41/K41</f>
        <v>0.56655173465962838</v>
      </c>
      <c r="N41" s="932" t="s">
        <v>1171</v>
      </c>
      <c r="O41" s="931">
        <f>'[4]int.kiadások RM I'!L41</f>
        <v>0</v>
      </c>
      <c r="P41" s="904">
        <f>'[4]int.kiadások RM III'!N41</f>
        <v>0</v>
      </c>
      <c r="Q41" s="931"/>
      <c r="R41" s="905"/>
      <c r="S41" s="931">
        <f>'[4]int.kiadások RM I'!O41</f>
        <v>0</v>
      </c>
      <c r="T41" s="931">
        <f>'[4]int.kiadások RM III'!Q41</f>
        <v>0</v>
      </c>
      <c r="U41" s="931"/>
      <c r="V41" s="905"/>
      <c r="W41" s="906">
        <f>B41+F41+J41+O41+S41</f>
        <v>867213</v>
      </c>
      <c r="X41" s="906">
        <f>C41+G41+K41+P41+T41</f>
        <v>1108530</v>
      </c>
      <c r="Y41" s="906">
        <f>D41+H41+L41+Q41+U41</f>
        <v>883259</v>
      </c>
      <c r="Z41" s="907">
        <f>Y41/X41</f>
        <v>0.79678402930006409</v>
      </c>
      <c r="AA41" s="932" t="s">
        <v>1171</v>
      </c>
      <c r="AB41" s="931">
        <f>'[4]int.kiadások RM I'!V41</f>
        <v>2028</v>
      </c>
      <c r="AC41" s="904">
        <f>'[4]int.kiadások RM III'!X41</f>
        <v>6403</v>
      </c>
      <c r="AD41" s="931">
        <v>3487</v>
      </c>
      <c r="AE41" s="905">
        <f>AD41/AC41</f>
        <v>0.54458847415274092</v>
      </c>
      <c r="AF41" s="931">
        <f>'[4]int.kiadások RM I'!Y41</f>
        <v>0</v>
      </c>
      <c r="AG41" s="904">
        <f>'[4]int.kiadások RM III'!AA41</f>
        <v>0</v>
      </c>
      <c r="AH41" s="931"/>
      <c r="AI41" s="905"/>
      <c r="AJ41" s="931">
        <f>'[4]int.kiadások RM I'!AB41</f>
        <v>0</v>
      </c>
      <c r="AK41" s="931">
        <f>'[4]int.kiadások RM III'!AD41</f>
        <v>0</v>
      </c>
      <c r="AL41" s="931"/>
      <c r="AM41" s="905"/>
      <c r="AN41" s="932" t="s">
        <v>1171</v>
      </c>
      <c r="AO41" s="906">
        <f>AB41+AF41+AJ41</f>
        <v>2028</v>
      </c>
      <c r="AP41" s="906">
        <f>AC41+AG41+AK41</f>
        <v>6403</v>
      </c>
      <c r="AQ41" s="906">
        <f>AD41+AH41+AL41</f>
        <v>3487</v>
      </c>
      <c r="AR41" s="907">
        <f>AQ41/AP41</f>
        <v>0.54458847415274092</v>
      </c>
      <c r="AS41" s="906">
        <f>W41+AO41</f>
        <v>869241</v>
      </c>
      <c r="AT41" s="906">
        <f>X41+AP41</f>
        <v>1114933</v>
      </c>
      <c r="AU41" s="906">
        <f>Y41+AQ41</f>
        <v>886746</v>
      </c>
      <c r="AV41" s="907">
        <f>AU41/AT41</f>
        <v>0.79533568384826714</v>
      </c>
      <c r="AW41" s="886"/>
      <c r="AX41" s="886"/>
      <c r="AY41" s="886"/>
      <c r="AZ41" s="886"/>
      <c r="BA41" s="886"/>
      <c r="BB41" s="968"/>
      <c r="BC41" s="968"/>
      <c r="BD41" s="968"/>
      <c r="BE41" s="968"/>
      <c r="BF41" s="968"/>
      <c r="BG41" s="968"/>
      <c r="BH41" s="968"/>
      <c r="BI41" s="968"/>
    </row>
    <row r="42" spans="1:61" s="969" customFormat="1" ht="49.5" customHeight="1" x14ac:dyDescent="0.7">
      <c r="A42" s="928" t="s">
        <v>1172</v>
      </c>
      <c r="B42" s="902"/>
      <c r="C42" s="902"/>
      <c r="D42" s="902"/>
      <c r="E42" s="902"/>
      <c r="F42" s="902"/>
      <c r="G42" s="902"/>
      <c r="H42" s="902"/>
      <c r="I42" s="902"/>
      <c r="J42" s="902"/>
      <c r="K42" s="902"/>
      <c r="L42" s="902"/>
      <c r="M42" s="902"/>
      <c r="N42" s="928" t="s">
        <v>1172</v>
      </c>
      <c r="O42" s="902"/>
      <c r="P42" s="902"/>
      <c r="Q42" s="902"/>
      <c r="R42" s="902"/>
      <c r="S42" s="902"/>
      <c r="T42" s="902"/>
      <c r="U42" s="902"/>
      <c r="V42" s="902"/>
      <c r="W42" s="902"/>
      <c r="X42" s="902"/>
      <c r="Y42" s="902"/>
      <c r="Z42" s="902"/>
      <c r="AA42" s="928" t="s">
        <v>1172</v>
      </c>
      <c r="AB42" s="902"/>
      <c r="AC42" s="902"/>
      <c r="AD42" s="902"/>
      <c r="AE42" s="902"/>
      <c r="AF42" s="902"/>
      <c r="AG42" s="902"/>
      <c r="AH42" s="902"/>
      <c r="AI42" s="902"/>
      <c r="AJ42" s="902"/>
      <c r="AK42" s="902"/>
      <c r="AL42" s="902"/>
      <c r="AM42" s="902"/>
      <c r="AN42" s="928" t="s">
        <v>1172</v>
      </c>
      <c r="AO42" s="902"/>
      <c r="AP42" s="902"/>
      <c r="AQ42" s="902"/>
      <c r="AR42" s="902"/>
      <c r="AS42" s="902"/>
      <c r="AT42" s="902"/>
      <c r="AU42" s="902"/>
      <c r="AV42" s="902"/>
      <c r="AW42" s="886"/>
      <c r="AX42" s="886"/>
      <c r="AY42" s="886"/>
      <c r="AZ42" s="886"/>
      <c r="BA42" s="886"/>
      <c r="BB42" s="968"/>
      <c r="BC42" s="968"/>
      <c r="BD42" s="968"/>
      <c r="BE42" s="968"/>
      <c r="BF42" s="968"/>
      <c r="BG42" s="968"/>
      <c r="BH42" s="968"/>
      <c r="BI42" s="968"/>
    </row>
    <row r="43" spans="1:61" s="969" customFormat="1" ht="47.25" thickBot="1" x14ac:dyDescent="0.75">
      <c r="A43" s="933" t="s">
        <v>1173</v>
      </c>
      <c r="B43" s="909">
        <f>'[4]int.kiadások RM I'!B43</f>
        <v>1292344</v>
      </c>
      <c r="C43" s="904">
        <f>'[4]int.kiadások RM III'!D43</f>
        <v>1313857</v>
      </c>
      <c r="D43" s="909">
        <f>1311016-1</f>
        <v>1311015</v>
      </c>
      <c r="E43" s="905">
        <f>D43/C43</f>
        <v>0.99783690310284912</v>
      </c>
      <c r="F43" s="909">
        <f>'[4]int.kiadások RM I'!E43</f>
        <v>194534</v>
      </c>
      <c r="G43" s="904">
        <f>'[4]int.kiadások RM III'!G43</f>
        <v>211888</v>
      </c>
      <c r="H43" s="909">
        <v>194574</v>
      </c>
      <c r="I43" s="905">
        <f>H43/G43</f>
        <v>0.91828701955750203</v>
      </c>
      <c r="J43" s="909">
        <f>'[4]int.kiadások RM I'!H43</f>
        <v>226993</v>
      </c>
      <c r="K43" s="904">
        <f>'[4]int.kiadások RM III'!J43</f>
        <v>253422</v>
      </c>
      <c r="L43" s="909">
        <v>253422</v>
      </c>
      <c r="M43" s="905">
        <f>L43/K43</f>
        <v>1</v>
      </c>
      <c r="N43" s="933" t="s">
        <v>1173</v>
      </c>
      <c r="O43" s="909">
        <f>'[4]int.kiadások RM I'!L43</f>
        <v>0</v>
      </c>
      <c r="P43" s="904">
        <f>'[4]int.kiadások RM III'!N43</f>
        <v>0</v>
      </c>
      <c r="Q43" s="909"/>
      <c r="R43" s="905"/>
      <c r="S43" s="909">
        <f>'[4]int.kiadások RM I'!O43</f>
        <v>0</v>
      </c>
      <c r="T43" s="909">
        <f>'[4]int.kiadások RM III'!Q43</f>
        <v>0</v>
      </c>
      <c r="U43" s="909"/>
      <c r="V43" s="905"/>
      <c r="W43" s="906">
        <f>B43+F43+J43+O43+S43</f>
        <v>1713871</v>
      </c>
      <c r="X43" s="906">
        <f>C43+G43+K43+P43+T43</f>
        <v>1779167</v>
      </c>
      <c r="Y43" s="906">
        <f>D43+H43+L43+Q43+U43</f>
        <v>1759011</v>
      </c>
      <c r="Z43" s="907">
        <f>Y43/X43</f>
        <v>0.98867110282508608</v>
      </c>
      <c r="AA43" s="933" t="s">
        <v>1173</v>
      </c>
      <c r="AB43" s="909">
        <f>'[4]int.kiadások RM I'!V43</f>
        <v>0</v>
      </c>
      <c r="AC43" s="904">
        <f>'[4]int.kiadások RM III'!X43</f>
        <v>22500</v>
      </c>
      <c r="AD43" s="909">
        <v>12699</v>
      </c>
      <c r="AE43" s="905">
        <f>AD43/AC43</f>
        <v>0.56440000000000001</v>
      </c>
      <c r="AF43" s="909">
        <f>'[4]int.kiadások RM I'!Y43</f>
        <v>0</v>
      </c>
      <c r="AG43" s="904">
        <f>'[4]int.kiadások RM III'!AA43</f>
        <v>60064</v>
      </c>
      <c r="AH43" s="909">
        <v>57370</v>
      </c>
      <c r="AI43" s="905">
        <f>AH43/AG43</f>
        <v>0.95514784230154504</v>
      </c>
      <c r="AJ43" s="909">
        <f>'[4]int.kiadások RM I'!AB43</f>
        <v>0</v>
      </c>
      <c r="AK43" s="909">
        <f>'[4]int.kiadások RM III'!AD43</f>
        <v>0</v>
      </c>
      <c r="AL43" s="909"/>
      <c r="AM43" s="905"/>
      <c r="AN43" s="933" t="s">
        <v>1173</v>
      </c>
      <c r="AO43" s="906">
        <f>AB43+AF43+AJ43</f>
        <v>0</v>
      </c>
      <c r="AP43" s="906">
        <f>AC43+AG43+AK43</f>
        <v>82564</v>
      </c>
      <c r="AQ43" s="906">
        <f>AD43+AH43+AL43</f>
        <v>70069</v>
      </c>
      <c r="AR43" s="907">
        <f>AQ43/AP43</f>
        <v>0.84866285548180809</v>
      </c>
      <c r="AS43" s="906">
        <f>W43+AO43</f>
        <v>1713871</v>
      </c>
      <c r="AT43" s="906">
        <f>X43+AP43</f>
        <v>1861731</v>
      </c>
      <c r="AU43" s="906">
        <f>Y43+AQ43</f>
        <v>1829080</v>
      </c>
      <c r="AV43" s="907">
        <f>AU43/AT43</f>
        <v>0.98246202056043541</v>
      </c>
      <c r="AW43" s="886"/>
      <c r="AX43" s="886"/>
      <c r="AY43" s="886"/>
      <c r="AZ43" s="886"/>
      <c r="BA43" s="886"/>
      <c r="BB43" s="968"/>
      <c r="BC43" s="968"/>
      <c r="BD43" s="968"/>
      <c r="BE43" s="968"/>
      <c r="BF43" s="968"/>
      <c r="BG43" s="968"/>
      <c r="BH43" s="968"/>
      <c r="BI43" s="968"/>
    </row>
    <row r="44" spans="1:61" s="969" customFormat="1" ht="49.5" customHeight="1" x14ac:dyDescent="0.7">
      <c r="A44" s="928" t="s">
        <v>1174</v>
      </c>
      <c r="B44" s="902"/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28" t="s">
        <v>1174</v>
      </c>
      <c r="O44" s="902"/>
      <c r="P44" s="902"/>
      <c r="Q44" s="902"/>
      <c r="R44" s="902"/>
      <c r="S44" s="902"/>
      <c r="T44" s="902"/>
      <c r="U44" s="902"/>
      <c r="V44" s="902"/>
      <c r="W44" s="902"/>
      <c r="X44" s="902"/>
      <c r="Y44" s="902"/>
      <c r="Z44" s="902"/>
      <c r="AA44" s="928" t="s">
        <v>1174</v>
      </c>
      <c r="AB44" s="902"/>
      <c r="AC44" s="902"/>
      <c r="AD44" s="902"/>
      <c r="AE44" s="902"/>
      <c r="AF44" s="902"/>
      <c r="AG44" s="902"/>
      <c r="AH44" s="902"/>
      <c r="AI44" s="902"/>
      <c r="AJ44" s="902"/>
      <c r="AK44" s="902"/>
      <c r="AL44" s="902"/>
      <c r="AM44" s="902"/>
      <c r="AN44" s="928" t="s">
        <v>1174</v>
      </c>
      <c r="AO44" s="902"/>
      <c r="AP44" s="902"/>
      <c r="AQ44" s="902"/>
      <c r="AR44" s="902"/>
      <c r="AS44" s="902"/>
      <c r="AT44" s="902"/>
      <c r="AU44" s="902"/>
      <c r="AV44" s="902"/>
      <c r="AW44" s="886"/>
      <c r="AX44" s="886"/>
      <c r="AY44" s="886"/>
      <c r="AZ44" s="886"/>
      <c r="BA44" s="886"/>
      <c r="BB44" s="968"/>
      <c r="BC44" s="968"/>
      <c r="BD44" s="968"/>
      <c r="BE44" s="968"/>
      <c r="BF44" s="968"/>
      <c r="BG44" s="968"/>
      <c r="BH44" s="968"/>
      <c r="BI44" s="968"/>
    </row>
    <row r="45" spans="1:61" s="969" customFormat="1" ht="49.5" customHeight="1" x14ac:dyDescent="0.7">
      <c r="A45" s="934" t="s">
        <v>1175</v>
      </c>
      <c r="B45" s="904">
        <f>'[4]int.kiadások RM I'!B45</f>
        <v>78754</v>
      </c>
      <c r="C45" s="904">
        <f>'[4]int.kiadások RM III'!D45</f>
        <v>62732</v>
      </c>
      <c r="D45" s="904">
        <v>61365</v>
      </c>
      <c r="E45" s="905">
        <f>D45/C45</f>
        <v>0.97820888860549637</v>
      </c>
      <c r="F45" s="904">
        <f>'[4]int.kiadások RM I'!E45</f>
        <v>10325</v>
      </c>
      <c r="G45" s="904">
        <f>'[4]int.kiadások RM III'!G45</f>
        <v>8345</v>
      </c>
      <c r="H45" s="904">
        <v>8021</v>
      </c>
      <c r="I45" s="905">
        <f>H45/G45</f>
        <v>0.96117435590173761</v>
      </c>
      <c r="J45" s="904">
        <f>'[4]int.kiadások RM I'!H45</f>
        <v>116730</v>
      </c>
      <c r="K45" s="904">
        <f>'[4]int.kiadások RM III'!J45</f>
        <v>147591</v>
      </c>
      <c r="L45" s="904">
        <v>125948</v>
      </c>
      <c r="M45" s="905">
        <f>L45/K45</f>
        <v>0.85335826710300766</v>
      </c>
      <c r="N45" s="934" t="s">
        <v>1175</v>
      </c>
      <c r="O45" s="904">
        <f>'[4]int.kiadások RM I'!L45</f>
        <v>0</v>
      </c>
      <c r="P45" s="904">
        <f>'[4]int.kiadások RM III'!N45</f>
        <v>0</v>
      </c>
      <c r="Q45" s="904"/>
      <c r="R45" s="905"/>
      <c r="S45" s="904">
        <f>'[4]int.kiadások RM I'!O45</f>
        <v>0</v>
      </c>
      <c r="T45" s="904">
        <f>'[4]int.kiadások RM III'!Q45</f>
        <v>0</v>
      </c>
      <c r="U45" s="904"/>
      <c r="V45" s="905"/>
      <c r="W45" s="906">
        <f t="shared" ref="W45:Y46" si="13">B45+F45+J45+O45+S45</f>
        <v>205809</v>
      </c>
      <c r="X45" s="906">
        <f t="shared" si="13"/>
        <v>218668</v>
      </c>
      <c r="Y45" s="906">
        <f t="shared" si="13"/>
        <v>195334</v>
      </c>
      <c r="Z45" s="907">
        <f>Y45/X45</f>
        <v>0.89329028481533646</v>
      </c>
      <c r="AA45" s="934" t="s">
        <v>1175</v>
      </c>
      <c r="AB45" s="904">
        <f>'[4]int.kiadások RM I'!V45</f>
        <v>0</v>
      </c>
      <c r="AC45" s="904">
        <f>'[4]int.kiadások RM III'!X45</f>
        <v>11070</v>
      </c>
      <c r="AD45" s="904">
        <v>6886</v>
      </c>
      <c r="AE45" s="905">
        <f>AD45/AC45</f>
        <v>0.62204155374887082</v>
      </c>
      <c r="AF45" s="904">
        <f>'[4]int.kiadások RM I'!Y45</f>
        <v>0</v>
      </c>
      <c r="AG45" s="904">
        <f>'[4]int.kiadások RM III'!AA45</f>
        <v>2055</v>
      </c>
      <c r="AH45" s="904">
        <v>2054</v>
      </c>
      <c r="AI45" s="905">
        <f>AH45/AG45</f>
        <v>0.99951338199513384</v>
      </c>
      <c r="AJ45" s="904">
        <f>'[4]int.kiadások RM I'!AB45</f>
        <v>0</v>
      </c>
      <c r="AK45" s="904">
        <f>'[4]int.kiadások RM III'!AD45</f>
        <v>0</v>
      </c>
      <c r="AL45" s="904"/>
      <c r="AM45" s="905"/>
      <c r="AN45" s="934" t="s">
        <v>1175</v>
      </c>
      <c r="AO45" s="906">
        <f t="shared" ref="AO45:AQ46" si="14">AB45+AF45+AJ45</f>
        <v>0</v>
      </c>
      <c r="AP45" s="906">
        <f t="shared" si="14"/>
        <v>13125</v>
      </c>
      <c r="AQ45" s="906">
        <f t="shared" si="14"/>
        <v>8940</v>
      </c>
      <c r="AR45" s="907">
        <f>AQ45/AP45</f>
        <v>0.68114285714285716</v>
      </c>
      <c r="AS45" s="906">
        <f t="shared" ref="AS45:AU46" si="15">W45+AO45</f>
        <v>205809</v>
      </c>
      <c r="AT45" s="906">
        <f t="shared" si="15"/>
        <v>231793</v>
      </c>
      <c r="AU45" s="906">
        <f t="shared" si="15"/>
        <v>204274</v>
      </c>
      <c r="AV45" s="907">
        <f>AU45/AT45</f>
        <v>0.88127769173357262</v>
      </c>
      <c r="AW45" s="886"/>
      <c r="AX45" s="886"/>
      <c r="AY45" s="886"/>
      <c r="AZ45" s="886"/>
      <c r="BA45" s="886"/>
      <c r="BB45" s="968"/>
      <c r="BC45" s="968"/>
      <c r="BD45" s="968"/>
      <c r="BE45" s="968"/>
      <c r="BF45" s="968"/>
      <c r="BG45" s="968"/>
      <c r="BH45" s="968"/>
      <c r="BI45" s="968"/>
    </row>
    <row r="46" spans="1:61" s="969" customFormat="1" ht="49.5" customHeight="1" thickBot="1" x14ac:dyDescent="0.75">
      <c r="A46" s="935" t="s">
        <v>40</v>
      </c>
      <c r="B46" s="936">
        <f>'[4]int.kiadások RM I'!B46</f>
        <v>2211636</v>
      </c>
      <c r="C46" s="936">
        <f>'[4]int.kiadások RM III'!D46</f>
        <v>2409856</v>
      </c>
      <c r="D46" s="936">
        <v>2290317</v>
      </c>
      <c r="E46" s="912">
        <f>D46/C46</f>
        <v>0.95039579128379459</v>
      </c>
      <c r="F46" s="936">
        <f>'[4]int.kiadások RM I'!E46</f>
        <v>327239</v>
      </c>
      <c r="G46" s="936">
        <f>'[4]int.kiadások RM III'!G46</f>
        <v>362089</v>
      </c>
      <c r="H46" s="936">
        <v>335609</v>
      </c>
      <c r="I46" s="912">
        <f>H46/G46</f>
        <v>0.92686880849735842</v>
      </c>
      <c r="J46" s="936">
        <f>'[4]int.kiadások RM I'!H46</f>
        <v>431917</v>
      </c>
      <c r="K46" s="936">
        <f>'[4]int.kiadások RM III'!J46</f>
        <v>500868</v>
      </c>
      <c r="L46" s="936">
        <v>411438</v>
      </c>
      <c r="M46" s="912">
        <f>L46/K46</f>
        <v>0.82144996286446725</v>
      </c>
      <c r="N46" s="935" t="s">
        <v>40</v>
      </c>
      <c r="O46" s="936">
        <f>'[4]int.kiadások RM I'!L46</f>
        <v>0</v>
      </c>
      <c r="P46" s="936">
        <f>'[4]int.kiadások RM III'!N46</f>
        <v>0</v>
      </c>
      <c r="Q46" s="935"/>
      <c r="R46" s="912"/>
      <c r="S46" s="936">
        <f>'[4]int.kiadások RM I'!O46</f>
        <v>3000</v>
      </c>
      <c r="T46" s="936">
        <f>'[4]int.kiadások RM III'!Q46</f>
        <v>5000</v>
      </c>
      <c r="U46" s="936">
        <v>4367</v>
      </c>
      <c r="V46" s="912">
        <f>U46/T46</f>
        <v>0.87339999999999995</v>
      </c>
      <c r="W46" s="937">
        <f t="shared" si="13"/>
        <v>2973792</v>
      </c>
      <c r="X46" s="937">
        <f t="shared" si="13"/>
        <v>3277813</v>
      </c>
      <c r="Y46" s="937">
        <f t="shared" si="13"/>
        <v>3041731</v>
      </c>
      <c r="Z46" s="938">
        <f>Y46/X46</f>
        <v>0.92797575700627222</v>
      </c>
      <c r="AA46" s="935" t="s">
        <v>40</v>
      </c>
      <c r="AB46" s="936">
        <f>'[4]int.kiadások RM I'!V46</f>
        <v>136150</v>
      </c>
      <c r="AC46" s="936">
        <f>'[4]int.kiadások RM III'!X46</f>
        <v>215359</v>
      </c>
      <c r="AD46" s="936">
        <v>147308</v>
      </c>
      <c r="AE46" s="912">
        <f>AD46/AC46</f>
        <v>0.6840113484925171</v>
      </c>
      <c r="AF46" s="936">
        <f>'[4]int.kiadások RM I'!Y46</f>
        <v>14000</v>
      </c>
      <c r="AG46" s="936">
        <f>'[4]int.kiadások RM III'!AA46</f>
        <v>229</v>
      </c>
      <c r="AH46" s="936">
        <v>229</v>
      </c>
      <c r="AI46" s="912">
        <f>AH46/AG46</f>
        <v>1</v>
      </c>
      <c r="AJ46" s="936">
        <f>'[4]int.kiadások RM I'!AB46</f>
        <v>0</v>
      </c>
      <c r="AK46" s="936">
        <f>'[4]int.kiadások RM III'!AD46</f>
        <v>0</v>
      </c>
      <c r="AL46" s="935"/>
      <c r="AM46" s="935"/>
      <c r="AN46" s="935" t="s">
        <v>40</v>
      </c>
      <c r="AO46" s="937">
        <f t="shared" si="14"/>
        <v>150150</v>
      </c>
      <c r="AP46" s="937">
        <f t="shared" si="14"/>
        <v>215588</v>
      </c>
      <c r="AQ46" s="937">
        <f t="shared" si="14"/>
        <v>147537</v>
      </c>
      <c r="AR46" s="938">
        <f>AQ46/AP46</f>
        <v>0.68434699519453768</v>
      </c>
      <c r="AS46" s="937">
        <f t="shared" si="15"/>
        <v>3123942</v>
      </c>
      <c r="AT46" s="937">
        <f t="shared" si="15"/>
        <v>3493401</v>
      </c>
      <c r="AU46" s="937">
        <f t="shared" si="15"/>
        <v>3189268</v>
      </c>
      <c r="AV46" s="938">
        <f>AU46/AT46</f>
        <v>0.9129407130758822</v>
      </c>
      <c r="AW46" s="886"/>
      <c r="AX46" s="886"/>
      <c r="AY46" s="886"/>
      <c r="AZ46" s="886"/>
      <c r="BA46" s="886"/>
      <c r="BB46" s="968"/>
      <c r="BC46" s="968"/>
      <c r="BD46" s="968"/>
      <c r="BE46" s="968"/>
      <c r="BF46" s="968"/>
      <c r="BG46" s="968"/>
      <c r="BH46" s="968"/>
      <c r="BI46" s="968"/>
    </row>
    <row r="47" spans="1:61" s="969" customFormat="1" ht="49.5" customHeight="1" thickBot="1" x14ac:dyDescent="0.75">
      <c r="A47" s="939" t="s">
        <v>1176</v>
      </c>
      <c r="B47" s="940">
        <f>SUM(B45:B46)</f>
        <v>2290390</v>
      </c>
      <c r="C47" s="940">
        <f>SUM(C45:C46)</f>
        <v>2472588</v>
      </c>
      <c r="D47" s="940">
        <f>SUM(D45:D46)</f>
        <v>2351682</v>
      </c>
      <c r="E47" s="919">
        <f>D47/C47</f>
        <v>0.95110143703682137</v>
      </c>
      <c r="F47" s="940">
        <f>SUM(F45:F46)</f>
        <v>337564</v>
      </c>
      <c r="G47" s="940">
        <f>SUM(G45:G46)</f>
        <v>370434</v>
      </c>
      <c r="H47" s="940">
        <f>SUM(H45:H46)</f>
        <v>343630</v>
      </c>
      <c r="I47" s="919">
        <f>H47/G47</f>
        <v>0.92764163116776532</v>
      </c>
      <c r="J47" s="940">
        <f>SUM(J45:J46)</f>
        <v>548647</v>
      </c>
      <c r="K47" s="940">
        <f>SUM(K45:K46)</f>
        <v>648459</v>
      </c>
      <c r="L47" s="940">
        <f>SUM(L45:L46)</f>
        <v>537386</v>
      </c>
      <c r="M47" s="919">
        <f>L47/K47</f>
        <v>0.82871237811488463</v>
      </c>
      <c r="N47" s="939" t="s">
        <v>1176</v>
      </c>
      <c r="O47" s="940">
        <f>SUM(O45:O46)</f>
        <v>0</v>
      </c>
      <c r="P47" s="940">
        <f>SUM(P45:P46)</f>
        <v>0</v>
      </c>
      <c r="Q47" s="940">
        <f>SUM(Q45:Q46)</f>
        <v>0</v>
      </c>
      <c r="R47" s="919"/>
      <c r="S47" s="940">
        <f>SUM(S45:S46)</f>
        <v>3000</v>
      </c>
      <c r="T47" s="940">
        <f>SUM(T45:T46)</f>
        <v>5000</v>
      </c>
      <c r="U47" s="940">
        <f>SUM(U45:U46)</f>
        <v>4367</v>
      </c>
      <c r="V47" s="919">
        <f>U47/T47</f>
        <v>0.87339999999999995</v>
      </c>
      <c r="W47" s="940">
        <f>SUM(W45:W46)</f>
        <v>3179601</v>
      </c>
      <c r="X47" s="940">
        <f>SUM(X45:X46)</f>
        <v>3496481</v>
      </c>
      <c r="Y47" s="940">
        <f>SUM(Y45:Y46)</f>
        <v>3237065</v>
      </c>
      <c r="Z47" s="919">
        <f>Y47/X47</f>
        <v>0.92580654663932105</v>
      </c>
      <c r="AA47" s="939" t="s">
        <v>1176</v>
      </c>
      <c r="AB47" s="940">
        <f>SUM(AB45:AB46)</f>
        <v>136150</v>
      </c>
      <c r="AC47" s="940">
        <f>SUM(AC45:AC46)</f>
        <v>226429</v>
      </c>
      <c r="AD47" s="940">
        <f>SUM(AD45:AD46)</f>
        <v>154194</v>
      </c>
      <c r="AE47" s="919">
        <f>AD47/AC47</f>
        <v>0.68098167637537599</v>
      </c>
      <c r="AF47" s="940">
        <f>SUM(AF45:AF46)</f>
        <v>14000</v>
      </c>
      <c r="AG47" s="940">
        <f>SUM(AG45:AG46)</f>
        <v>2284</v>
      </c>
      <c r="AH47" s="940">
        <f>SUM(AH45:AH46)</f>
        <v>2283</v>
      </c>
      <c r="AI47" s="919">
        <f>AH47/AG47</f>
        <v>0.99956217162872152</v>
      </c>
      <c r="AJ47" s="940">
        <f>SUM(AJ45:AJ46)</f>
        <v>0</v>
      </c>
      <c r="AK47" s="940">
        <f>SUM(AK45:AK46)</f>
        <v>0</v>
      </c>
      <c r="AL47" s="940">
        <f>SUM(AL45:AL46)</f>
        <v>0</v>
      </c>
      <c r="AM47" s="919"/>
      <c r="AN47" s="939" t="s">
        <v>1176</v>
      </c>
      <c r="AO47" s="940">
        <f>SUM(AO45:AO46)</f>
        <v>150150</v>
      </c>
      <c r="AP47" s="940">
        <f>SUM(AP45:AP46)</f>
        <v>228713</v>
      </c>
      <c r="AQ47" s="940">
        <f>SUM(AQ45:AQ46)</f>
        <v>156477</v>
      </c>
      <c r="AR47" s="919">
        <f>AQ47/AP47</f>
        <v>0.6841631214666416</v>
      </c>
      <c r="AS47" s="940">
        <f>SUM(AS45:AS46)</f>
        <v>3329751</v>
      </c>
      <c r="AT47" s="940">
        <f>SUM(AT45:AT46)</f>
        <v>3725194</v>
      </c>
      <c r="AU47" s="940">
        <f>SUM(AU45:AU46)</f>
        <v>3393542</v>
      </c>
      <c r="AV47" s="919">
        <f>AU47/AT47</f>
        <v>0.91097054274220346</v>
      </c>
      <c r="AW47" s="886"/>
      <c r="AX47" s="886"/>
      <c r="AY47" s="886"/>
      <c r="AZ47" s="886"/>
      <c r="BA47" s="886"/>
      <c r="BB47" s="968"/>
      <c r="BC47" s="968"/>
      <c r="BD47" s="968"/>
      <c r="BE47" s="968"/>
      <c r="BF47" s="968"/>
      <c r="BG47" s="968"/>
      <c r="BH47" s="968"/>
      <c r="BI47" s="968"/>
    </row>
    <row r="48" spans="1:61" s="969" customFormat="1" ht="49.5" customHeight="1" thickBot="1" x14ac:dyDescent="0.75">
      <c r="A48" s="939" t="s">
        <v>1177</v>
      </c>
      <c r="B48" s="937">
        <f>B37+B39+B41+B43+B47</f>
        <v>6283325</v>
      </c>
      <c r="C48" s="937">
        <f>C37+C39+C41+C43+C47</f>
        <v>7134724</v>
      </c>
      <c r="D48" s="937">
        <f>D37+D39+D41+D43+D47</f>
        <v>6823175</v>
      </c>
      <c r="E48" s="915">
        <f>D48/C48</f>
        <v>0.95633341948476214</v>
      </c>
      <c r="F48" s="937">
        <f>F37+F39+F41+F43+F47</f>
        <v>913933</v>
      </c>
      <c r="G48" s="937">
        <f>G37+G39+G41+G43+G47</f>
        <v>1042243</v>
      </c>
      <c r="H48" s="937">
        <f>H37+H39+H41+H43+H47</f>
        <v>944628</v>
      </c>
      <c r="I48" s="915">
        <f>H48/G48</f>
        <v>0.90634141941946356</v>
      </c>
      <c r="J48" s="937">
        <f>J37+J39+J41+J43+J47</f>
        <v>1924465</v>
      </c>
      <c r="K48" s="937">
        <f>K37+K39+K41+K43+K47</f>
        <v>2947592</v>
      </c>
      <c r="L48" s="937">
        <f>L37+L39+L41+L43+L47</f>
        <v>2312629</v>
      </c>
      <c r="M48" s="915">
        <f>L48/K48</f>
        <v>0.78458246595865366</v>
      </c>
      <c r="N48" s="939" t="s">
        <v>1177</v>
      </c>
      <c r="O48" s="937">
        <f>O37+O39+O41+O43+O47</f>
        <v>0</v>
      </c>
      <c r="P48" s="937">
        <f>P37+P39+P41+P43+P47</f>
        <v>0</v>
      </c>
      <c r="Q48" s="937">
        <f>Q37+Q39+Q41+Q43+Q47</f>
        <v>0</v>
      </c>
      <c r="R48" s="915"/>
      <c r="S48" s="937">
        <f>S37+S39+S41+S43+S47</f>
        <v>3000</v>
      </c>
      <c r="T48" s="937">
        <f>T37+T39+T41+T43+T47</f>
        <v>5070</v>
      </c>
      <c r="U48" s="937">
        <f>U37+U39+U41+U43+U47</f>
        <v>4437</v>
      </c>
      <c r="V48" s="915">
        <f>U48/T48</f>
        <v>0.87514792899408289</v>
      </c>
      <c r="W48" s="937">
        <f>W37+W39+W41+W43+W47</f>
        <v>9124723</v>
      </c>
      <c r="X48" s="937">
        <f>X37+X39+X41+X43+X47</f>
        <v>11129629</v>
      </c>
      <c r="Y48" s="937">
        <f>Y37+Y39+Y41+Y43+Y47</f>
        <v>10084869</v>
      </c>
      <c r="Z48" s="915">
        <f>Y48/X48</f>
        <v>0.90612804793403268</v>
      </c>
      <c r="AA48" s="939" t="s">
        <v>1177</v>
      </c>
      <c r="AB48" s="937">
        <f>AB37+AB39+AB41+AB43+AB47</f>
        <v>138178</v>
      </c>
      <c r="AC48" s="937">
        <f>AC37+AC39+AC41+AC43+AC47</f>
        <v>392938</v>
      </c>
      <c r="AD48" s="937">
        <f>AD37+AD39+AD41+AD43+AD47</f>
        <v>297695</v>
      </c>
      <c r="AE48" s="915">
        <f>AD48/AC48</f>
        <v>0.75761316034590698</v>
      </c>
      <c r="AF48" s="937">
        <f>AF37+AF39+AF41+AF43+AF47</f>
        <v>14000</v>
      </c>
      <c r="AG48" s="937">
        <f>AG37+AG39+AG41+AG43+AG47</f>
        <v>144449</v>
      </c>
      <c r="AH48" s="937">
        <f>AH37+AH39+AH41+AH43+AH47</f>
        <v>117592</v>
      </c>
      <c r="AI48" s="915">
        <f>AH48/AG48</f>
        <v>0.81407278693518126</v>
      </c>
      <c r="AJ48" s="937">
        <f>AJ37+AJ39+AJ41+AJ43+AJ47</f>
        <v>0</v>
      </c>
      <c r="AK48" s="937">
        <f>AK37+AK39+AK41+AK43+AK47</f>
        <v>0</v>
      </c>
      <c r="AL48" s="937">
        <f>AL37+AL39+AL41+AL43+AL47</f>
        <v>0</v>
      </c>
      <c r="AM48" s="915"/>
      <c r="AN48" s="939" t="s">
        <v>1177</v>
      </c>
      <c r="AO48" s="937">
        <f>AO37+AO39+AO41+AO43+AO47</f>
        <v>152178</v>
      </c>
      <c r="AP48" s="937">
        <f>AP37+AP39+AP41+AP43+AP47</f>
        <v>537387</v>
      </c>
      <c r="AQ48" s="937">
        <f>AQ37+AQ39+AQ41+AQ43+AQ47</f>
        <v>415287</v>
      </c>
      <c r="AR48" s="915">
        <f>AQ48/AP48</f>
        <v>0.77278944224553259</v>
      </c>
      <c r="AS48" s="937">
        <f>AS37+AS39+AS41+AS43+AS47</f>
        <v>9276901</v>
      </c>
      <c r="AT48" s="937">
        <f>AT37+AT39+AT41+AT43+AT47</f>
        <v>11667016</v>
      </c>
      <c r="AU48" s="937">
        <f>AU37+AU39+AU41+AU43+AU47</f>
        <v>10500156</v>
      </c>
      <c r="AV48" s="915">
        <f>AU48/AT48</f>
        <v>0.89998642326366918</v>
      </c>
      <c r="AW48" s="886"/>
      <c r="AX48" s="886"/>
      <c r="AY48" s="886"/>
      <c r="AZ48" s="886"/>
      <c r="BA48" s="886"/>
      <c r="BB48" s="968"/>
      <c r="BC48" s="968"/>
      <c r="BD48" s="968"/>
      <c r="BE48" s="968"/>
      <c r="BF48" s="968"/>
      <c r="BG48" s="968"/>
      <c r="BH48" s="968"/>
      <c r="BI48" s="968"/>
    </row>
    <row r="49" spans="1:61" s="969" customFormat="1" ht="49.5" customHeight="1" thickBot="1" x14ac:dyDescent="0.75">
      <c r="A49" s="941" t="s">
        <v>1178</v>
      </c>
      <c r="B49" s="914">
        <f>B30+B48</f>
        <v>9172411</v>
      </c>
      <c r="C49" s="914">
        <f>C30+C48</f>
        <v>10069188</v>
      </c>
      <c r="D49" s="914">
        <f>D30+D48</f>
        <v>9628922</v>
      </c>
      <c r="E49" s="915">
        <f>D49/C49</f>
        <v>0.95627591817731483</v>
      </c>
      <c r="F49" s="914">
        <f>F30+F48</f>
        <v>1316968</v>
      </c>
      <c r="G49" s="914">
        <f>G30+G48</f>
        <v>1447802</v>
      </c>
      <c r="H49" s="914">
        <f>H30+H48</f>
        <v>1299412</v>
      </c>
      <c r="I49" s="915">
        <f>H49/G49</f>
        <v>0.89750670326467297</v>
      </c>
      <c r="J49" s="914">
        <f>J30+J48</f>
        <v>3899453</v>
      </c>
      <c r="K49" s="914">
        <f>K30+K48</f>
        <v>5021140</v>
      </c>
      <c r="L49" s="914">
        <f>L30+L48</f>
        <v>4349438</v>
      </c>
      <c r="M49" s="915">
        <f>L49/K49</f>
        <v>0.86622519985501301</v>
      </c>
      <c r="N49" s="941" t="s">
        <v>1178</v>
      </c>
      <c r="O49" s="914">
        <f>O30+O48</f>
        <v>0</v>
      </c>
      <c r="P49" s="914">
        <f>P30+P48</f>
        <v>0</v>
      </c>
      <c r="Q49" s="914">
        <f>Q30+Q48</f>
        <v>0</v>
      </c>
      <c r="R49" s="915"/>
      <c r="S49" s="914">
        <f>S30+S48</f>
        <v>3000</v>
      </c>
      <c r="T49" s="914">
        <f>T30+T48</f>
        <v>5070</v>
      </c>
      <c r="U49" s="914">
        <f>U30+U48</f>
        <v>4437</v>
      </c>
      <c r="V49" s="915">
        <f>U49/T49</f>
        <v>0.87514792899408289</v>
      </c>
      <c r="W49" s="914">
        <f>W30+W48</f>
        <v>14391832</v>
      </c>
      <c r="X49" s="914">
        <f>X30+X48</f>
        <v>16543200</v>
      </c>
      <c r="Y49" s="914">
        <f>Y30+Y48</f>
        <v>15282209</v>
      </c>
      <c r="Z49" s="915">
        <f>Y49/X49</f>
        <v>0.92377587165723685</v>
      </c>
      <c r="AA49" s="941" t="s">
        <v>1178</v>
      </c>
      <c r="AB49" s="914">
        <f>AB30+AB48</f>
        <v>138178</v>
      </c>
      <c r="AC49" s="914">
        <f>AC30+AC48</f>
        <v>463582</v>
      </c>
      <c r="AD49" s="914">
        <f>AD30+AD48</f>
        <v>337478</v>
      </c>
      <c r="AE49" s="915">
        <f>AD49/AC49</f>
        <v>0.72797908460639105</v>
      </c>
      <c r="AF49" s="914">
        <f>AF30+AF48</f>
        <v>14000</v>
      </c>
      <c r="AG49" s="914">
        <f>AG30+AG48</f>
        <v>214379</v>
      </c>
      <c r="AH49" s="914">
        <f>AH30+AH48</f>
        <v>159410</v>
      </c>
      <c r="AI49" s="915">
        <f>AH49/AG49</f>
        <v>0.74358962398369244</v>
      </c>
      <c r="AJ49" s="914">
        <f>AJ30+AJ48</f>
        <v>0</v>
      </c>
      <c r="AK49" s="914">
        <f>AK30+AK48</f>
        <v>0</v>
      </c>
      <c r="AL49" s="914">
        <f>AL30+AL48</f>
        <v>0</v>
      </c>
      <c r="AM49" s="915"/>
      <c r="AN49" s="941" t="s">
        <v>1178</v>
      </c>
      <c r="AO49" s="914">
        <f>AO30+AO48</f>
        <v>152178</v>
      </c>
      <c r="AP49" s="914">
        <f>AP30+AP48</f>
        <v>677961</v>
      </c>
      <c r="AQ49" s="914">
        <f>AQ30+AQ48</f>
        <v>496888</v>
      </c>
      <c r="AR49" s="915">
        <f>AQ49/AP49</f>
        <v>0.73291531518774677</v>
      </c>
      <c r="AS49" s="914">
        <f>AS30+AS48</f>
        <v>14544010</v>
      </c>
      <c r="AT49" s="914">
        <f>AT30+AT48</f>
        <v>17221161</v>
      </c>
      <c r="AU49" s="914">
        <f>AU30+AU48</f>
        <v>15779097</v>
      </c>
      <c r="AV49" s="915">
        <f>AU49/AT49</f>
        <v>0.91626209173702056</v>
      </c>
      <c r="AW49" s="886"/>
      <c r="AX49" s="886"/>
      <c r="AY49" s="886"/>
      <c r="AZ49" s="886"/>
      <c r="BA49" s="886"/>
      <c r="BB49" s="968"/>
      <c r="BC49" s="968"/>
      <c r="BD49" s="968"/>
      <c r="BE49" s="968"/>
      <c r="BF49" s="968"/>
      <c r="BG49" s="968"/>
      <c r="BH49" s="968"/>
      <c r="BI49" s="968"/>
    </row>
    <row r="50" spans="1:61" ht="49.5" customHeight="1" x14ac:dyDescent="0.7">
      <c r="A50" s="947"/>
      <c r="B50" s="971"/>
      <c r="C50" s="971"/>
      <c r="D50" s="971"/>
      <c r="E50" s="971"/>
      <c r="F50" s="971"/>
      <c r="G50" s="971"/>
      <c r="H50" s="971"/>
      <c r="I50" s="971"/>
      <c r="J50" s="971"/>
      <c r="K50" s="971"/>
      <c r="L50" s="971"/>
      <c r="M50" s="971"/>
      <c r="N50" s="947"/>
      <c r="O50" s="971"/>
      <c r="P50" s="971"/>
      <c r="Q50" s="971"/>
      <c r="R50" s="971"/>
      <c r="S50" s="971"/>
      <c r="T50" s="971"/>
      <c r="U50" s="971"/>
      <c r="V50" s="971"/>
      <c r="W50" s="971"/>
      <c r="X50" s="971"/>
      <c r="Y50" s="971"/>
      <c r="Z50" s="971"/>
      <c r="AA50" s="970"/>
      <c r="AB50" s="947"/>
      <c r="AC50" s="947"/>
      <c r="AD50" s="947"/>
      <c r="AE50" s="947"/>
      <c r="AF50" s="947"/>
      <c r="AG50" s="947"/>
      <c r="AH50" s="947"/>
      <c r="AI50" s="947"/>
      <c r="AJ50" s="947"/>
      <c r="AK50" s="947"/>
      <c r="AL50" s="947"/>
      <c r="AM50" s="947"/>
      <c r="AN50" s="970"/>
      <c r="AO50" s="947"/>
      <c r="AP50" s="947"/>
      <c r="AQ50" s="947"/>
      <c r="AR50" s="947"/>
      <c r="AS50" s="947"/>
      <c r="AT50" s="947"/>
      <c r="AU50" s="947"/>
      <c r="AV50" s="947"/>
      <c r="AW50" s="972"/>
      <c r="AX50" s="972"/>
      <c r="AY50" s="972"/>
      <c r="AZ50" s="972"/>
      <c r="BA50" s="972"/>
      <c r="BB50" s="955"/>
      <c r="BC50" s="955"/>
      <c r="BD50" s="955"/>
      <c r="BE50" s="955"/>
      <c r="BF50" s="955"/>
      <c r="BG50" s="955"/>
      <c r="BH50" s="955"/>
      <c r="BI50" s="955"/>
    </row>
    <row r="51" spans="1:61" ht="49.5" customHeight="1" x14ac:dyDescent="0.7">
      <c r="A51" s="947"/>
      <c r="B51" s="971"/>
      <c r="C51" s="971"/>
      <c r="D51" s="971"/>
      <c r="E51" s="971"/>
      <c r="F51" s="971"/>
      <c r="G51" s="971"/>
      <c r="H51" s="971"/>
      <c r="I51" s="971"/>
      <c r="J51" s="971"/>
      <c r="K51" s="971"/>
      <c r="L51" s="971"/>
      <c r="M51" s="971"/>
      <c r="N51" s="947"/>
      <c r="O51" s="971"/>
      <c r="P51" s="971"/>
      <c r="Q51" s="971"/>
      <c r="R51" s="971"/>
      <c r="S51" s="971"/>
      <c r="T51" s="971"/>
      <c r="U51" s="971"/>
      <c r="V51" s="971"/>
      <c r="W51" s="971"/>
      <c r="X51" s="971"/>
      <c r="Y51" s="971"/>
      <c r="Z51" s="971"/>
      <c r="AA51" s="970"/>
      <c r="AB51" s="947"/>
      <c r="AC51" s="947"/>
      <c r="AD51" s="947"/>
      <c r="AE51" s="947"/>
      <c r="AF51" s="947"/>
      <c r="AG51" s="947"/>
      <c r="AH51" s="947"/>
      <c r="AI51" s="947"/>
      <c r="AJ51" s="947"/>
      <c r="AK51" s="947"/>
      <c r="AL51" s="947"/>
      <c r="AM51" s="947"/>
      <c r="AN51" s="970"/>
      <c r="AO51" s="947"/>
      <c r="AP51" s="947"/>
      <c r="AQ51" s="947"/>
      <c r="AR51" s="947"/>
      <c r="AS51" s="947"/>
      <c r="AT51" s="947"/>
      <c r="AU51" s="947"/>
      <c r="AV51" s="947"/>
      <c r="AW51" s="972"/>
      <c r="AX51" s="972"/>
      <c r="AY51" s="972"/>
      <c r="AZ51" s="972"/>
      <c r="BA51" s="972"/>
      <c r="BB51" s="955"/>
      <c r="BC51" s="955"/>
      <c r="BD51" s="955"/>
      <c r="BE51" s="955"/>
      <c r="BF51" s="955"/>
      <c r="BG51" s="955"/>
      <c r="BH51" s="955"/>
      <c r="BI51" s="955"/>
    </row>
    <row r="52" spans="1:61" ht="49.5" customHeight="1" x14ac:dyDescent="0.7">
      <c r="A52" s="947"/>
      <c r="B52" s="971"/>
      <c r="C52" s="971"/>
      <c r="D52" s="971"/>
      <c r="E52" s="971"/>
      <c r="F52" s="971"/>
      <c r="G52" s="971"/>
      <c r="H52" s="971"/>
      <c r="I52" s="971"/>
      <c r="J52" s="971"/>
      <c r="K52" s="971"/>
      <c r="L52" s="971"/>
      <c r="M52" s="971"/>
      <c r="N52" s="947"/>
      <c r="O52" s="971"/>
      <c r="P52" s="971"/>
      <c r="Q52" s="971"/>
      <c r="R52" s="971"/>
      <c r="S52" s="971"/>
      <c r="T52" s="971"/>
      <c r="U52" s="971"/>
      <c r="V52" s="971"/>
      <c r="W52" s="971"/>
      <c r="X52" s="971"/>
      <c r="Y52" s="971"/>
      <c r="Z52" s="971"/>
      <c r="AA52" s="970"/>
      <c r="AB52" s="947"/>
      <c r="AC52" s="947"/>
      <c r="AD52" s="947"/>
      <c r="AE52" s="947"/>
      <c r="AF52" s="947"/>
      <c r="AG52" s="947"/>
      <c r="AH52" s="947"/>
      <c r="AI52" s="947"/>
      <c r="AJ52" s="947"/>
      <c r="AK52" s="947"/>
      <c r="AL52" s="947"/>
      <c r="AM52" s="947"/>
      <c r="AN52" s="970"/>
      <c r="AO52" s="947"/>
      <c r="AP52" s="947"/>
      <c r="AQ52" s="947"/>
      <c r="AR52" s="947"/>
      <c r="AS52" s="947"/>
      <c r="AT52" s="947"/>
      <c r="AU52" s="947"/>
      <c r="AV52" s="947"/>
      <c r="AW52" s="972"/>
      <c r="AX52" s="972"/>
      <c r="AY52" s="972"/>
      <c r="AZ52" s="972"/>
      <c r="BA52" s="972"/>
      <c r="BB52" s="955"/>
      <c r="BC52" s="955"/>
      <c r="BD52" s="955"/>
      <c r="BE52" s="955"/>
      <c r="BF52" s="955"/>
      <c r="BG52" s="955"/>
      <c r="BH52" s="955"/>
      <c r="BI52" s="955"/>
    </row>
    <row r="53" spans="1:61" ht="49.5" customHeight="1" x14ac:dyDescent="0.7">
      <c r="A53" s="886"/>
      <c r="B53" s="971"/>
      <c r="C53" s="971"/>
      <c r="D53" s="971"/>
      <c r="E53" s="971"/>
      <c r="F53" s="971"/>
      <c r="G53" s="971"/>
      <c r="H53" s="971"/>
      <c r="I53" s="971"/>
      <c r="J53" s="971"/>
      <c r="K53" s="971"/>
      <c r="L53" s="971"/>
      <c r="M53" s="971"/>
      <c r="N53" s="886"/>
      <c r="O53" s="971"/>
      <c r="P53" s="971"/>
      <c r="Q53" s="971"/>
      <c r="R53" s="971"/>
      <c r="S53" s="971"/>
      <c r="T53" s="971"/>
      <c r="U53" s="971"/>
      <c r="V53" s="971"/>
      <c r="W53" s="971"/>
      <c r="X53" s="971"/>
      <c r="Y53" s="971"/>
      <c r="Z53" s="971"/>
      <c r="AA53" s="973"/>
      <c r="AB53" s="886"/>
      <c r="AC53" s="886"/>
      <c r="AD53" s="886"/>
      <c r="AE53" s="886"/>
      <c r="AF53" s="886"/>
      <c r="AG53" s="886"/>
      <c r="AH53" s="886"/>
      <c r="AI53" s="886"/>
      <c r="AJ53" s="886"/>
      <c r="AK53" s="886"/>
      <c r="AL53" s="886"/>
      <c r="AM53" s="886"/>
      <c r="AN53" s="973"/>
      <c r="AO53" s="886"/>
      <c r="AP53" s="886"/>
      <c r="AQ53" s="886"/>
      <c r="AR53" s="886"/>
      <c r="AS53" s="886"/>
      <c r="AT53" s="886"/>
      <c r="AU53" s="886"/>
      <c r="AV53" s="886"/>
      <c r="AW53" s="972"/>
      <c r="AX53" s="972"/>
      <c r="AY53" s="972"/>
      <c r="AZ53" s="972"/>
      <c r="BA53" s="972"/>
      <c r="BB53" s="955"/>
      <c r="BC53" s="955"/>
      <c r="BD53" s="955"/>
      <c r="BE53" s="955"/>
      <c r="BF53" s="955"/>
      <c r="BG53" s="955"/>
      <c r="BH53" s="955"/>
      <c r="BI53" s="955"/>
    </row>
    <row r="54" spans="1:61" ht="49.5" customHeight="1" x14ac:dyDescent="0.6">
      <c r="A54" s="974"/>
      <c r="B54" s="975"/>
      <c r="C54" s="975"/>
      <c r="D54" s="975"/>
      <c r="E54" s="975"/>
      <c r="F54" s="975"/>
      <c r="G54" s="975"/>
      <c r="H54" s="975"/>
      <c r="I54" s="975"/>
      <c r="J54" s="975"/>
      <c r="K54" s="975"/>
      <c r="L54" s="975"/>
      <c r="M54" s="975"/>
      <c r="N54" s="974"/>
      <c r="O54" s="975"/>
      <c r="P54" s="975"/>
      <c r="Q54" s="975"/>
      <c r="R54" s="975"/>
      <c r="S54" s="975"/>
      <c r="T54" s="975"/>
      <c r="U54" s="975"/>
      <c r="V54" s="975"/>
      <c r="W54" s="975"/>
      <c r="X54" s="975"/>
      <c r="Y54" s="975"/>
      <c r="Z54" s="975"/>
      <c r="AA54" s="976"/>
      <c r="AB54" s="974"/>
      <c r="AC54" s="974"/>
      <c r="AD54" s="974"/>
      <c r="AE54" s="974"/>
      <c r="AF54" s="890"/>
      <c r="AG54" s="890"/>
      <c r="AH54" s="890"/>
      <c r="AI54" s="890"/>
      <c r="AJ54" s="974"/>
      <c r="AK54" s="974"/>
      <c r="AL54" s="974"/>
      <c r="AM54" s="974"/>
      <c r="AN54" s="976"/>
      <c r="AO54" s="974"/>
      <c r="AP54" s="974"/>
      <c r="AQ54" s="974"/>
      <c r="AR54" s="974"/>
      <c r="AS54" s="890"/>
      <c r="AT54" s="890"/>
      <c r="AU54" s="890"/>
      <c r="AV54" s="890"/>
      <c r="AW54" s="977"/>
      <c r="AX54" s="977"/>
      <c r="AY54" s="977"/>
      <c r="AZ54" s="977"/>
      <c r="BA54" s="977"/>
    </row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&amp;R&amp;"-,Félkövér"&amp;36 &amp;48 6. melléklet  a .../2025. (........) önkormányzati rendelethez 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130C1-DDAA-42DD-95B5-C4A443F28222}">
  <dimension ref="A1:V58"/>
  <sheetViews>
    <sheetView topLeftCell="A34" zoomScale="50" zoomScaleNormal="50" zoomScaleSheetLayoutView="40" workbookViewId="0">
      <selection activeCell="A35" sqref="A35"/>
    </sheetView>
  </sheetViews>
  <sheetFormatPr defaultColWidth="12" defaultRowHeight="33.75" x14ac:dyDescent="0.5"/>
  <cols>
    <col min="1" max="1" width="151" style="982" customWidth="1"/>
    <col min="2" max="2" width="60.83203125" style="986" customWidth="1"/>
    <col min="3" max="3" width="50.5" style="986" customWidth="1"/>
    <col min="4" max="5" width="60.83203125" style="986" customWidth="1"/>
    <col min="6" max="6" width="60.6640625" style="986" customWidth="1"/>
    <col min="7" max="7" width="60.83203125" style="986" customWidth="1"/>
    <col min="8" max="8" width="12" style="986" customWidth="1"/>
    <col min="9" max="9" width="22.5" style="987" customWidth="1"/>
    <col min="10" max="256" width="12" style="986"/>
    <col min="257" max="257" width="151" style="986" customWidth="1"/>
    <col min="258" max="258" width="60.83203125" style="986" customWidth="1"/>
    <col min="259" max="259" width="50.5" style="986" customWidth="1"/>
    <col min="260" max="261" width="60.83203125" style="986" customWidth="1"/>
    <col min="262" max="262" width="60.6640625" style="986" customWidth="1"/>
    <col min="263" max="263" width="60.83203125" style="986" customWidth="1"/>
    <col min="264" max="264" width="12" style="986" customWidth="1"/>
    <col min="265" max="265" width="22.5" style="986" customWidth="1"/>
    <col min="266" max="512" width="12" style="986"/>
    <col min="513" max="513" width="151" style="986" customWidth="1"/>
    <col min="514" max="514" width="60.83203125" style="986" customWidth="1"/>
    <col min="515" max="515" width="50.5" style="986" customWidth="1"/>
    <col min="516" max="517" width="60.83203125" style="986" customWidth="1"/>
    <col min="518" max="518" width="60.6640625" style="986" customWidth="1"/>
    <col min="519" max="519" width="60.83203125" style="986" customWidth="1"/>
    <col min="520" max="520" width="12" style="986" customWidth="1"/>
    <col min="521" max="521" width="22.5" style="986" customWidth="1"/>
    <col min="522" max="768" width="12" style="986"/>
    <col min="769" max="769" width="151" style="986" customWidth="1"/>
    <col min="770" max="770" width="60.83203125" style="986" customWidth="1"/>
    <col min="771" max="771" width="50.5" style="986" customWidth="1"/>
    <col min="772" max="773" width="60.83203125" style="986" customWidth="1"/>
    <col min="774" max="774" width="60.6640625" style="986" customWidth="1"/>
    <col min="775" max="775" width="60.83203125" style="986" customWidth="1"/>
    <col min="776" max="776" width="12" style="986" customWidth="1"/>
    <col min="777" max="777" width="22.5" style="986" customWidth="1"/>
    <col min="778" max="1024" width="12" style="986"/>
    <col min="1025" max="1025" width="151" style="986" customWidth="1"/>
    <col min="1026" max="1026" width="60.83203125" style="986" customWidth="1"/>
    <col min="1027" max="1027" width="50.5" style="986" customWidth="1"/>
    <col min="1028" max="1029" width="60.83203125" style="986" customWidth="1"/>
    <col min="1030" max="1030" width="60.6640625" style="986" customWidth="1"/>
    <col min="1031" max="1031" width="60.83203125" style="986" customWidth="1"/>
    <col min="1032" max="1032" width="12" style="986" customWidth="1"/>
    <col min="1033" max="1033" width="22.5" style="986" customWidth="1"/>
    <col min="1034" max="1280" width="12" style="986"/>
    <col min="1281" max="1281" width="151" style="986" customWidth="1"/>
    <col min="1282" max="1282" width="60.83203125" style="986" customWidth="1"/>
    <col min="1283" max="1283" width="50.5" style="986" customWidth="1"/>
    <col min="1284" max="1285" width="60.83203125" style="986" customWidth="1"/>
    <col min="1286" max="1286" width="60.6640625" style="986" customWidth="1"/>
    <col min="1287" max="1287" width="60.83203125" style="986" customWidth="1"/>
    <col min="1288" max="1288" width="12" style="986" customWidth="1"/>
    <col min="1289" max="1289" width="22.5" style="986" customWidth="1"/>
    <col min="1290" max="1536" width="12" style="986"/>
    <col min="1537" max="1537" width="151" style="986" customWidth="1"/>
    <col min="1538" max="1538" width="60.83203125" style="986" customWidth="1"/>
    <col min="1539" max="1539" width="50.5" style="986" customWidth="1"/>
    <col min="1540" max="1541" width="60.83203125" style="986" customWidth="1"/>
    <col min="1542" max="1542" width="60.6640625" style="986" customWidth="1"/>
    <col min="1543" max="1543" width="60.83203125" style="986" customWidth="1"/>
    <col min="1544" max="1544" width="12" style="986" customWidth="1"/>
    <col min="1545" max="1545" width="22.5" style="986" customWidth="1"/>
    <col min="1546" max="1792" width="12" style="986"/>
    <col min="1793" max="1793" width="151" style="986" customWidth="1"/>
    <col min="1794" max="1794" width="60.83203125" style="986" customWidth="1"/>
    <col min="1795" max="1795" width="50.5" style="986" customWidth="1"/>
    <col min="1796" max="1797" width="60.83203125" style="986" customWidth="1"/>
    <col min="1798" max="1798" width="60.6640625" style="986" customWidth="1"/>
    <col min="1799" max="1799" width="60.83203125" style="986" customWidth="1"/>
    <col min="1800" max="1800" width="12" style="986" customWidth="1"/>
    <col min="1801" max="1801" width="22.5" style="986" customWidth="1"/>
    <col min="1802" max="2048" width="12" style="986"/>
    <col min="2049" max="2049" width="151" style="986" customWidth="1"/>
    <col min="2050" max="2050" width="60.83203125" style="986" customWidth="1"/>
    <col min="2051" max="2051" width="50.5" style="986" customWidth="1"/>
    <col min="2052" max="2053" width="60.83203125" style="986" customWidth="1"/>
    <col min="2054" max="2054" width="60.6640625" style="986" customWidth="1"/>
    <col min="2055" max="2055" width="60.83203125" style="986" customWidth="1"/>
    <col min="2056" max="2056" width="12" style="986" customWidth="1"/>
    <col min="2057" max="2057" width="22.5" style="986" customWidth="1"/>
    <col min="2058" max="2304" width="12" style="986"/>
    <col min="2305" max="2305" width="151" style="986" customWidth="1"/>
    <col min="2306" max="2306" width="60.83203125" style="986" customWidth="1"/>
    <col min="2307" max="2307" width="50.5" style="986" customWidth="1"/>
    <col min="2308" max="2309" width="60.83203125" style="986" customWidth="1"/>
    <col min="2310" max="2310" width="60.6640625" style="986" customWidth="1"/>
    <col min="2311" max="2311" width="60.83203125" style="986" customWidth="1"/>
    <col min="2312" max="2312" width="12" style="986" customWidth="1"/>
    <col min="2313" max="2313" width="22.5" style="986" customWidth="1"/>
    <col min="2314" max="2560" width="12" style="986"/>
    <col min="2561" max="2561" width="151" style="986" customWidth="1"/>
    <col min="2562" max="2562" width="60.83203125" style="986" customWidth="1"/>
    <col min="2563" max="2563" width="50.5" style="986" customWidth="1"/>
    <col min="2564" max="2565" width="60.83203125" style="986" customWidth="1"/>
    <col min="2566" max="2566" width="60.6640625" style="986" customWidth="1"/>
    <col min="2567" max="2567" width="60.83203125" style="986" customWidth="1"/>
    <col min="2568" max="2568" width="12" style="986" customWidth="1"/>
    <col min="2569" max="2569" width="22.5" style="986" customWidth="1"/>
    <col min="2570" max="2816" width="12" style="986"/>
    <col min="2817" max="2817" width="151" style="986" customWidth="1"/>
    <col min="2818" max="2818" width="60.83203125" style="986" customWidth="1"/>
    <col min="2819" max="2819" width="50.5" style="986" customWidth="1"/>
    <col min="2820" max="2821" width="60.83203125" style="986" customWidth="1"/>
    <col min="2822" max="2822" width="60.6640625" style="986" customWidth="1"/>
    <col min="2823" max="2823" width="60.83203125" style="986" customWidth="1"/>
    <col min="2824" max="2824" width="12" style="986" customWidth="1"/>
    <col min="2825" max="2825" width="22.5" style="986" customWidth="1"/>
    <col min="2826" max="3072" width="12" style="986"/>
    <col min="3073" max="3073" width="151" style="986" customWidth="1"/>
    <col min="3074" max="3074" width="60.83203125" style="986" customWidth="1"/>
    <col min="3075" max="3075" width="50.5" style="986" customWidth="1"/>
    <col min="3076" max="3077" width="60.83203125" style="986" customWidth="1"/>
    <col min="3078" max="3078" width="60.6640625" style="986" customWidth="1"/>
    <col min="3079" max="3079" width="60.83203125" style="986" customWidth="1"/>
    <col min="3080" max="3080" width="12" style="986" customWidth="1"/>
    <col min="3081" max="3081" width="22.5" style="986" customWidth="1"/>
    <col min="3082" max="3328" width="12" style="986"/>
    <col min="3329" max="3329" width="151" style="986" customWidth="1"/>
    <col min="3330" max="3330" width="60.83203125" style="986" customWidth="1"/>
    <col min="3331" max="3331" width="50.5" style="986" customWidth="1"/>
    <col min="3332" max="3333" width="60.83203125" style="986" customWidth="1"/>
    <col min="3334" max="3334" width="60.6640625" style="986" customWidth="1"/>
    <col min="3335" max="3335" width="60.83203125" style="986" customWidth="1"/>
    <col min="3336" max="3336" width="12" style="986" customWidth="1"/>
    <col min="3337" max="3337" width="22.5" style="986" customWidth="1"/>
    <col min="3338" max="3584" width="12" style="986"/>
    <col min="3585" max="3585" width="151" style="986" customWidth="1"/>
    <col min="3586" max="3586" width="60.83203125" style="986" customWidth="1"/>
    <col min="3587" max="3587" width="50.5" style="986" customWidth="1"/>
    <col min="3588" max="3589" width="60.83203125" style="986" customWidth="1"/>
    <col min="3590" max="3590" width="60.6640625" style="986" customWidth="1"/>
    <col min="3591" max="3591" width="60.83203125" style="986" customWidth="1"/>
    <col min="3592" max="3592" width="12" style="986" customWidth="1"/>
    <col min="3593" max="3593" width="22.5" style="986" customWidth="1"/>
    <col min="3594" max="3840" width="12" style="986"/>
    <col min="3841" max="3841" width="151" style="986" customWidth="1"/>
    <col min="3842" max="3842" width="60.83203125" style="986" customWidth="1"/>
    <col min="3843" max="3843" width="50.5" style="986" customWidth="1"/>
    <col min="3844" max="3845" width="60.83203125" style="986" customWidth="1"/>
    <col min="3846" max="3846" width="60.6640625" style="986" customWidth="1"/>
    <col min="3847" max="3847" width="60.83203125" style="986" customWidth="1"/>
    <col min="3848" max="3848" width="12" style="986" customWidth="1"/>
    <col min="3849" max="3849" width="22.5" style="986" customWidth="1"/>
    <col min="3850" max="4096" width="12" style="986"/>
    <col min="4097" max="4097" width="151" style="986" customWidth="1"/>
    <col min="4098" max="4098" width="60.83203125" style="986" customWidth="1"/>
    <col min="4099" max="4099" width="50.5" style="986" customWidth="1"/>
    <col min="4100" max="4101" width="60.83203125" style="986" customWidth="1"/>
    <col min="4102" max="4102" width="60.6640625" style="986" customWidth="1"/>
    <col min="4103" max="4103" width="60.83203125" style="986" customWidth="1"/>
    <col min="4104" max="4104" width="12" style="986" customWidth="1"/>
    <col min="4105" max="4105" width="22.5" style="986" customWidth="1"/>
    <col min="4106" max="4352" width="12" style="986"/>
    <col min="4353" max="4353" width="151" style="986" customWidth="1"/>
    <col min="4354" max="4354" width="60.83203125" style="986" customWidth="1"/>
    <col min="4355" max="4355" width="50.5" style="986" customWidth="1"/>
    <col min="4356" max="4357" width="60.83203125" style="986" customWidth="1"/>
    <col min="4358" max="4358" width="60.6640625" style="986" customWidth="1"/>
    <col min="4359" max="4359" width="60.83203125" style="986" customWidth="1"/>
    <col min="4360" max="4360" width="12" style="986" customWidth="1"/>
    <col min="4361" max="4361" width="22.5" style="986" customWidth="1"/>
    <col min="4362" max="4608" width="12" style="986"/>
    <col min="4609" max="4609" width="151" style="986" customWidth="1"/>
    <col min="4610" max="4610" width="60.83203125" style="986" customWidth="1"/>
    <col min="4611" max="4611" width="50.5" style="986" customWidth="1"/>
    <col min="4612" max="4613" width="60.83203125" style="986" customWidth="1"/>
    <col min="4614" max="4614" width="60.6640625" style="986" customWidth="1"/>
    <col min="4615" max="4615" width="60.83203125" style="986" customWidth="1"/>
    <col min="4616" max="4616" width="12" style="986" customWidth="1"/>
    <col min="4617" max="4617" width="22.5" style="986" customWidth="1"/>
    <col min="4618" max="4864" width="12" style="986"/>
    <col min="4865" max="4865" width="151" style="986" customWidth="1"/>
    <col min="4866" max="4866" width="60.83203125" style="986" customWidth="1"/>
    <col min="4867" max="4867" width="50.5" style="986" customWidth="1"/>
    <col min="4868" max="4869" width="60.83203125" style="986" customWidth="1"/>
    <col min="4870" max="4870" width="60.6640625" style="986" customWidth="1"/>
    <col min="4871" max="4871" width="60.83203125" style="986" customWidth="1"/>
    <col min="4872" max="4872" width="12" style="986" customWidth="1"/>
    <col min="4873" max="4873" width="22.5" style="986" customWidth="1"/>
    <col min="4874" max="5120" width="12" style="986"/>
    <col min="5121" max="5121" width="151" style="986" customWidth="1"/>
    <col min="5122" max="5122" width="60.83203125" style="986" customWidth="1"/>
    <col min="5123" max="5123" width="50.5" style="986" customWidth="1"/>
    <col min="5124" max="5125" width="60.83203125" style="986" customWidth="1"/>
    <col min="5126" max="5126" width="60.6640625" style="986" customWidth="1"/>
    <col min="5127" max="5127" width="60.83203125" style="986" customWidth="1"/>
    <col min="5128" max="5128" width="12" style="986" customWidth="1"/>
    <col min="5129" max="5129" width="22.5" style="986" customWidth="1"/>
    <col min="5130" max="5376" width="12" style="986"/>
    <col min="5377" max="5377" width="151" style="986" customWidth="1"/>
    <col min="5378" max="5378" width="60.83203125" style="986" customWidth="1"/>
    <col min="5379" max="5379" width="50.5" style="986" customWidth="1"/>
    <col min="5380" max="5381" width="60.83203125" style="986" customWidth="1"/>
    <col min="5382" max="5382" width="60.6640625" style="986" customWidth="1"/>
    <col min="5383" max="5383" width="60.83203125" style="986" customWidth="1"/>
    <col min="5384" max="5384" width="12" style="986" customWidth="1"/>
    <col min="5385" max="5385" width="22.5" style="986" customWidth="1"/>
    <col min="5386" max="5632" width="12" style="986"/>
    <col min="5633" max="5633" width="151" style="986" customWidth="1"/>
    <col min="5634" max="5634" width="60.83203125" style="986" customWidth="1"/>
    <col min="5635" max="5635" width="50.5" style="986" customWidth="1"/>
    <col min="5636" max="5637" width="60.83203125" style="986" customWidth="1"/>
    <col min="5638" max="5638" width="60.6640625" style="986" customWidth="1"/>
    <col min="5639" max="5639" width="60.83203125" style="986" customWidth="1"/>
    <col min="5640" max="5640" width="12" style="986" customWidth="1"/>
    <col min="5641" max="5641" width="22.5" style="986" customWidth="1"/>
    <col min="5642" max="5888" width="12" style="986"/>
    <col min="5889" max="5889" width="151" style="986" customWidth="1"/>
    <col min="5890" max="5890" width="60.83203125" style="986" customWidth="1"/>
    <col min="5891" max="5891" width="50.5" style="986" customWidth="1"/>
    <col min="5892" max="5893" width="60.83203125" style="986" customWidth="1"/>
    <col min="5894" max="5894" width="60.6640625" style="986" customWidth="1"/>
    <col min="5895" max="5895" width="60.83203125" style="986" customWidth="1"/>
    <col min="5896" max="5896" width="12" style="986" customWidth="1"/>
    <col min="5897" max="5897" width="22.5" style="986" customWidth="1"/>
    <col min="5898" max="6144" width="12" style="986"/>
    <col min="6145" max="6145" width="151" style="986" customWidth="1"/>
    <col min="6146" max="6146" width="60.83203125" style="986" customWidth="1"/>
    <col min="6147" max="6147" width="50.5" style="986" customWidth="1"/>
    <col min="6148" max="6149" width="60.83203125" style="986" customWidth="1"/>
    <col min="6150" max="6150" width="60.6640625" style="986" customWidth="1"/>
    <col min="6151" max="6151" width="60.83203125" style="986" customWidth="1"/>
    <col min="6152" max="6152" width="12" style="986" customWidth="1"/>
    <col min="6153" max="6153" width="22.5" style="986" customWidth="1"/>
    <col min="6154" max="6400" width="12" style="986"/>
    <col min="6401" max="6401" width="151" style="986" customWidth="1"/>
    <col min="6402" max="6402" width="60.83203125" style="986" customWidth="1"/>
    <col min="6403" max="6403" width="50.5" style="986" customWidth="1"/>
    <col min="6404" max="6405" width="60.83203125" style="986" customWidth="1"/>
    <col min="6406" max="6406" width="60.6640625" style="986" customWidth="1"/>
    <col min="6407" max="6407" width="60.83203125" style="986" customWidth="1"/>
    <col min="6408" max="6408" width="12" style="986" customWidth="1"/>
    <col min="6409" max="6409" width="22.5" style="986" customWidth="1"/>
    <col min="6410" max="6656" width="12" style="986"/>
    <col min="6657" max="6657" width="151" style="986" customWidth="1"/>
    <col min="6658" max="6658" width="60.83203125" style="986" customWidth="1"/>
    <col min="6659" max="6659" width="50.5" style="986" customWidth="1"/>
    <col min="6660" max="6661" width="60.83203125" style="986" customWidth="1"/>
    <col min="6662" max="6662" width="60.6640625" style="986" customWidth="1"/>
    <col min="6663" max="6663" width="60.83203125" style="986" customWidth="1"/>
    <col min="6664" max="6664" width="12" style="986" customWidth="1"/>
    <col min="6665" max="6665" width="22.5" style="986" customWidth="1"/>
    <col min="6666" max="6912" width="12" style="986"/>
    <col min="6913" max="6913" width="151" style="986" customWidth="1"/>
    <col min="6914" max="6914" width="60.83203125" style="986" customWidth="1"/>
    <col min="6915" max="6915" width="50.5" style="986" customWidth="1"/>
    <col min="6916" max="6917" width="60.83203125" style="986" customWidth="1"/>
    <col min="6918" max="6918" width="60.6640625" style="986" customWidth="1"/>
    <col min="6919" max="6919" width="60.83203125" style="986" customWidth="1"/>
    <col min="6920" max="6920" width="12" style="986" customWidth="1"/>
    <col min="6921" max="6921" width="22.5" style="986" customWidth="1"/>
    <col min="6922" max="7168" width="12" style="986"/>
    <col min="7169" max="7169" width="151" style="986" customWidth="1"/>
    <col min="7170" max="7170" width="60.83203125" style="986" customWidth="1"/>
    <col min="7171" max="7171" width="50.5" style="986" customWidth="1"/>
    <col min="7172" max="7173" width="60.83203125" style="986" customWidth="1"/>
    <col min="7174" max="7174" width="60.6640625" style="986" customWidth="1"/>
    <col min="7175" max="7175" width="60.83203125" style="986" customWidth="1"/>
    <col min="7176" max="7176" width="12" style="986" customWidth="1"/>
    <col min="7177" max="7177" width="22.5" style="986" customWidth="1"/>
    <col min="7178" max="7424" width="12" style="986"/>
    <col min="7425" max="7425" width="151" style="986" customWidth="1"/>
    <col min="7426" max="7426" width="60.83203125" style="986" customWidth="1"/>
    <col min="7427" max="7427" width="50.5" style="986" customWidth="1"/>
    <col min="7428" max="7429" width="60.83203125" style="986" customWidth="1"/>
    <col min="7430" max="7430" width="60.6640625" style="986" customWidth="1"/>
    <col min="7431" max="7431" width="60.83203125" style="986" customWidth="1"/>
    <col min="7432" max="7432" width="12" style="986" customWidth="1"/>
    <col min="7433" max="7433" width="22.5" style="986" customWidth="1"/>
    <col min="7434" max="7680" width="12" style="986"/>
    <col min="7681" max="7681" width="151" style="986" customWidth="1"/>
    <col min="7682" max="7682" width="60.83203125" style="986" customWidth="1"/>
    <col min="7683" max="7683" width="50.5" style="986" customWidth="1"/>
    <col min="7684" max="7685" width="60.83203125" style="986" customWidth="1"/>
    <col min="7686" max="7686" width="60.6640625" style="986" customWidth="1"/>
    <col min="7687" max="7687" width="60.83203125" style="986" customWidth="1"/>
    <col min="7688" max="7688" width="12" style="986" customWidth="1"/>
    <col min="7689" max="7689" width="22.5" style="986" customWidth="1"/>
    <col min="7690" max="7936" width="12" style="986"/>
    <col min="7937" max="7937" width="151" style="986" customWidth="1"/>
    <col min="7938" max="7938" width="60.83203125" style="986" customWidth="1"/>
    <col min="7939" max="7939" width="50.5" style="986" customWidth="1"/>
    <col min="7940" max="7941" width="60.83203125" style="986" customWidth="1"/>
    <col min="7942" max="7942" width="60.6640625" style="986" customWidth="1"/>
    <col min="7943" max="7943" width="60.83203125" style="986" customWidth="1"/>
    <col min="7944" max="7944" width="12" style="986" customWidth="1"/>
    <col min="7945" max="7945" width="22.5" style="986" customWidth="1"/>
    <col min="7946" max="8192" width="12" style="986"/>
    <col min="8193" max="8193" width="151" style="986" customWidth="1"/>
    <col min="8194" max="8194" width="60.83203125" style="986" customWidth="1"/>
    <col min="8195" max="8195" width="50.5" style="986" customWidth="1"/>
    <col min="8196" max="8197" width="60.83203125" style="986" customWidth="1"/>
    <col min="8198" max="8198" width="60.6640625" style="986" customWidth="1"/>
    <col min="8199" max="8199" width="60.83203125" style="986" customWidth="1"/>
    <col min="8200" max="8200" width="12" style="986" customWidth="1"/>
    <col min="8201" max="8201" width="22.5" style="986" customWidth="1"/>
    <col min="8202" max="8448" width="12" style="986"/>
    <col min="8449" max="8449" width="151" style="986" customWidth="1"/>
    <col min="8450" max="8450" width="60.83203125" style="986" customWidth="1"/>
    <col min="8451" max="8451" width="50.5" style="986" customWidth="1"/>
    <col min="8452" max="8453" width="60.83203125" style="986" customWidth="1"/>
    <col min="8454" max="8454" width="60.6640625" style="986" customWidth="1"/>
    <col min="8455" max="8455" width="60.83203125" style="986" customWidth="1"/>
    <col min="8456" max="8456" width="12" style="986" customWidth="1"/>
    <col min="8457" max="8457" width="22.5" style="986" customWidth="1"/>
    <col min="8458" max="8704" width="12" style="986"/>
    <col min="8705" max="8705" width="151" style="986" customWidth="1"/>
    <col min="8706" max="8706" width="60.83203125" style="986" customWidth="1"/>
    <col min="8707" max="8707" width="50.5" style="986" customWidth="1"/>
    <col min="8708" max="8709" width="60.83203125" style="986" customWidth="1"/>
    <col min="8710" max="8710" width="60.6640625" style="986" customWidth="1"/>
    <col min="8711" max="8711" width="60.83203125" style="986" customWidth="1"/>
    <col min="8712" max="8712" width="12" style="986" customWidth="1"/>
    <col min="8713" max="8713" width="22.5" style="986" customWidth="1"/>
    <col min="8714" max="8960" width="12" style="986"/>
    <col min="8961" max="8961" width="151" style="986" customWidth="1"/>
    <col min="8962" max="8962" width="60.83203125" style="986" customWidth="1"/>
    <col min="8963" max="8963" width="50.5" style="986" customWidth="1"/>
    <col min="8964" max="8965" width="60.83203125" style="986" customWidth="1"/>
    <col min="8966" max="8966" width="60.6640625" style="986" customWidth="1"/>
    <col min="8967" max="8967" width="60.83203125" style="986" customWidth="1"/>
    <col min="8968" max="8968" width="12" style="986" customWidth="1"/>
    <col min="8969" max="8969" width="22.5" style="986" customWidth="1"/>
    <col min="8970" max="9216" width="12" style="986"/>
    <col min="9217" max="9217" width="151" style="986" customWidth="1"/>
    <col min="9218" max="9218" width="60.83203125" style="986" customWidth="1"/>
    <col min="9219" max="9219" width="50.5" style="986" customWidth="1"/>
    <col min="9220" max="9221" width="60.83203125" style="986" customWidth="1"/>
    <col min="9222" max="9222" width="60.6640625" style="986" customWidth="1"/>
    <col min="9223" max="9223" width="60.83203125" style="986" customWidth="1"/>
    <col min="9224" max="9224" width="12" style="986" customWidth="1"/>
    <col min="9225" max="9225" width="22.5" style="986" customWidth="1"/>
    <col min="9226" max="9472" width="12" style="986"/>
    <col min="9473" max="9473" width="151" style="986" customWidth="1"/>
    <col min="9474" max="9474" width="60.83203125" style="986" customWidth="1"/>
    <col min="9475" max="9475" width="50.5" style="986" customWidth="1"/>
    <col min="9476" max="9477" width="60.83203125" style="986" customWidth="1"/>
    <col min="9478" max="9478" width="60.6640625" style="986" customWidth="1"/>
    <col min="9479" max="9479" width="60.83203125" style="986" customWidth="1"/>
    <col min="9480" max="9480" width="12" style="986" customWidth="1"/>
    <col min="9481" max="9481" width="22.5" style="986" customWidth="1"/>
    <col min="9482" max="9728" width="12" style="986"/>
    <col min="9729" max="9729" width="151" style="986" customWidth="1"/>
    <col min="9730" max="9730" width="60.83203125" style="986" customWidth="1"/>
    <col min="9731" max="9731" width="50.5" style="986" customWidth="1"/>
    <col min="9732" max="9733" width="60.83203125" style="986" customWidth="1"/>
    <col min="9734" max="9734" width="60.6640625" style="986" customWidth="1"/>
    <col min="9735" max="9735" width="60.83203125" style="986" customWidth="1"/>
    <col min="9736" max="9736" width="12" style="986" customWidth="1"/>
    <col min="9737" max="9737" width="22.5" style="986" customWidth="1"/>
    <col min="9738" max="9984" width="12" style="986"/>
    <col min="9985" max="9985" width="151" style="986" customWidth="1"/>
    <col min="9986" max="9986" width="60.83203125" style="986" customWidth="1"/>
    <col min="9987" max="9987" width="50.5" style="986" customWidth="1"/>
    <col min="9988" max="9989" width="60.83203125" style="986" customWidth="1"/>
    <col min="9990" max="9990" width="60.6640625" style="986" customWidth="1"/>
    <col min="9991" max="9991" width="60.83203125" style="986" customWidth="1"/>
    <col min="9992" max="9992" width="12" style="986" customWidth="1"/>
    <col min="9993" max="9993" width="22.5" style="986" customWidth="1"/>
    <col min="9994" max="10240" width="12" style="986"/>
    <col min="10241" max="10241" width="151" style="986" customWidth="1"/>
    <col min="10242" max="10242" width="60.83203125" style="986" customWidth="1"/>
    <col min="10243" max="10243" width="50.5" style="986" customWidth="1"/>
    <col min="10244" max="10245" width="60.83203125" style="986" customWidth="1"/>
    <col min="10246" max="10246" width="60.6640625" style="986" customWidth="1"/>
    <col min="10247" max="10247" width="60.83203125" style="986" customWidth="1"/>
    <col min="10248" max="10248" width="12" style="986" customWidth="1"/>
    <col min="10249" max="10249" width="22.5" style="986" customWidth="1"/>
    <col min="10250" max="10496" width="12" style="986"/>
    <col min="10497" max="10497" width="151" style="986" customWidth="1"/>
    <col min="10498" max="10498" width="60.83203125" style="986" customWidth="1"/>
    <col min="10499" max="10499" width="50.5" style="986" customWidth="1"/>
    <col min="10500" max="10501" width="60.83203125" style="986" customWidth="1"/>
    <col min="10502" max="10502" width="60.6640625" style="986" customWidth="1"/>
    <col min="10503" max="10503" width="60.83203125" style="986" customWidth="1"/>
    <col min="10504" max="10504" width="12" style="986" customWidth="1"/>
    <col min="10505" max="10505" width="22.5" style="986" customWidth="1"/>
    <col min="10506" max="10752" width="12" style="986"/>
    <col min="10753" max="10753" width="151" style="986" customWidth="1"/>
    <col min="10754" max="10754" width="60.83203125" style="986" customWidth="1"/>
    <col min="10755" max="10755" width="50.5" style="986" customWidth="1"/>
    <col min="10756" max="10757" width="60.83203125" style="986" customWidth="1"/>
    <col min="10758" max="10758" width="60.6640625" style="986" customWidth="1"/>
    <col min="10759" max="10759" width="60.83203125" style="986" customWidth="1"/>
    <col min="10760" max="10760" width="12" style="986" customWidth="1"/>
    <col min="10761" max="10761" width="22.5" style="986" customWidth="1"/>
    <col min="10762" max="11008" width="12" style="986"/>
    <col min="11009" max="11009" width="151" style="986" customWidth="1"/>
    <col min="11010" max="11010" width="60.83203125" style="986" customWidth="1"/>
    <col min="11011" max="11011" width="50.5" style="986" customWidth="1"/>
    <col min="11012" max="11013" width="60.83203125" style="986" customWidth="1"/>
    <col min="11014" max="11014" width="60.6640625" style="986" customWidth="1"/>
    <col min="11015" max="11015" width="60.83203125" style="986" customWidth="1"/>
    <col min="11016" max="11016" width="12" style="986" customWidth="1"/>
    <col min="11017" max="11017" width="22.5" style="986" customWidth="1"/>
    <col min="11018" max="11264" width="12" style="986"/>
    <col min="11265" max="11265" width="151" style="986" customWidth="1"/>
    <col min="11266" max="11266" width="60.83203125" style="986" customWidth="1"/>
    <col min="11267" max="11267" width="50.5" style="986" customWidth="1"/>
    <col min="11268" max="11269" width="60.83203125" style="986" customWidth="1"/>
    <col min="11270" max="11270" width="60.6640625" style="986" customWidth="1"/>
    <col min="11271" max="11271" width="60.83203125" style="986" customWidth="1"/>
    <col min="11272" max="11272" width="12" style="986" customWidth="1"/>
    <col min="11273" max="11273" width="22.5" style="986" customWidth="1"/>
    <col min="11274" max="11520" width="12" style="986"/>
    <col min="11521" max="11521" width="151" style="986" customWidth="1"/>
    <col min="11522" max="11522" width="60.83203125" style="986" customWidth="1"/>
    <col min="11523" max="11523" width="50.5" style="986" customWidth="1"/>
    <col min="11524" max="11525" width="60.83203125" style="986" customWidth="1"/>
    <col min="11526" max="11526" width="60.6640625" style="986" customWidth="1"/>
    <col min="11527" max="11527" width="60.83203125" style="986" customWidth="1"/>
    <col min="11528" max="11528" width="12" style="986" customWidth="1"/>
    <col min="11529" max="11529" width="22.5" style="986" customWidth="1"/>
    <col min="11530" max="11776" width="12" style="986"/>
    <col min="11777" max="11777" width="151" style="986" customWidth="1"/>
    <col min="11778" max="11778" width="60.83203125" style="986" customWidth="1"/>
    <col min="11779" max="11779" width="50.5" style="986" customWidth="1"/>
    <col min="11780" max="11781" width="60.83203125" style="986" customWidth="1"/>
    <col min="11782" max="11782" width="60.6640625" style="986" customWidth="1"/>
    <col min="11783" max="11783" width="60.83203125" style="986" customWidth="1"/>
    <col min="11784" max="11784" width="12" style="986" customWidth="1"/>
    <col min="11785" max="11785" width="22.5" style="986" customWidth="1"/>
    <col min="11786" max="12032" width="12" style="986"/>
    <col min="12033" max="12033" width="151" style="986" customWidth="1"/>
    <col min="12034" max="12034" width="60.83203125" style="986" customWidth="1"/>
    <col min="12035" max="12035" width="50.5" style="986" customWidth="1"/>
    <col min="12036" max="12037" width="60.83203125" style="986" customWidth="1"/>
    <col min="12038" max="12038" width="60.6640625" style="986" customWidth="1"/>
    <col min="12039" max="12039" width="60.83203125" style="986" customWidth="1"/>
    <col min="12040" max="12040" width="12" style="986" customWidth="1"/>
    <col min="12041" max="12041" width="22.5" style="986" customWidth="1"/>
    <col min="12042" max="12288" width="12" style="986"/>
    <col min="12289" max="12289" width="151" style="986" customWidth="1"/>
    <col min="12290" max="12290" width="60.83203125" style="986" customWidth="1"/>
    <col min="12291" max="12291" width="50.5" style="986" customWidth="1"/>
    <col min="12292" max="12293" width="60.83203125" style="986" customWidth="1"/>
    <col min="12294" max="12294" width="60.6640625" style="986" customWidth="1"/>
    <col min="12295" max="12295" width="60.83203125" style="986" customWidth="1"/>
    <col min="12296" max="12296" width="12" style="986" customWidth="1"/>
    <col min="12297" max="12297" width="22.5" style="986" customWidth="1"/>
    <col min="12298" max="12544" width="12" style="986"/>
    <col min="12545" max="12545" width="151" style="986" customWidth="1"/>
    <col min="12546" max="12546" width="60.83203125" style="986" customWidth="1"/>
    <col min="12547" max="12547" width="50.5" style="986" customWidth="1"/>
    <col min="12548" max="12549" width="60.83203125" style="986" customWidth="1"/>
    <col min="12550" max="12550" width="60.6640625" style="986" customWidth="1"/>
    <col min="12551" max="12551" width="60.83203125" style="986" customWidth="1"/>
    <col min="12552" max="12552" width="12" style="986" customWidth="1"/>
    <col min="12553" max="12553" width="22.5" style="986" customWidth="1"/>
    <col min="12554" max="12800" width="12" style="986"/>
    <col min="12801" max="12801" width="151" style="986" customWidth="1"/>
    <col min="12802" max="12802" width="60.83203125" style="986" customWidth="1"/>
    <col min="12803" max="12803" width="50.5" style="986" customWidth="1"/>
    <col min="12804" max="12805" width="60.83203125" style="986" customWidth="1"/>
    <col min="12806" max="12806" width="60.6640625" style="986" customWidth="1"/>
    <col min="12807" max="12807" width="60.83203125" style="986" customWidth="1"/>
    <col min="12808" max="12808" width="12" style="986" customWidth="1"/>
    <col min="12809" max="12809" width="22.5" style="986" customWidth="1"/>
    <col min="12810" max="13056" width="12" style="986"/>
    <col min="13057" max="13057" width="151" style="986" customWidth="1"/>
    <col min="13058" max="13058" width="60.83203125" style="986" customWidth="1"/>
    <col min="13059" max="13059" width="50.5" style="986" customWidth="1"/>
    <col min="13060" max="13061" width="60.83203125" style="986" customWidth="1"/>
    <col min="13062" max="13062" width="60.6640625" style="986" customWidth="1"/>
    <col min="13063" max="13063" width="60.83203125" style="986" customWidth="1"/>
    <col min="13064" max="13064" width="12" style="986" customWidth="1"/>
    <col min="13065" max="13065" width="22.5" style="986" customWidth="1"/>
    <col min="13066" max="13312" width="12" style="986"/>
    <col min="13313" max="13313" width="151" style="986" customWidth="1"/>
    <col min="13314" max="13314" width="60.83203125" style="986" customWidth="1"/>
    <col min="13315" max="13315" width="50.5" style="986" customWidth="1"/>
    <col min="13316" max="13317" width="60.83203125" style="986" customWidth="1"/>
    <col min="13318" max="13318" width="60.6640625" style="986" customWidth="1"/>
    <col min="13319" max="13319" width="60.83203125" style="986" customWidth="1"/>
    <col min="13320" max="13320" width="12" style="986" customWidth="1"/>
    <col min="13321" max="13321" width="22.5" style="986" customWidth="1"/>
    <col min="13322" max="13568" width="12" style="986"/>
    <col min="13569" max="13569" width="151" style="986" customWidth="1"/>
    <col min="13570" max="13570" width="60.83203125" style="986" customWidth="1"/>
    <col min="13571" max="13571" width="50.5" style="986" customWidth="1"/>
    <col min="13572" max="13573" width="60.83203125" style="986" customWidth="1"/>
    <col min="13574" max="13574" width="60.6640625" style="986" customWidth="1"/>
    <col min="13575" max="13575" width="60.83203125" style="986" customWidth="1"/>
    <col min="13576" max="13576" width="12" style="986" customWidth="1"/>
    <col min="13577" max="13577" width="22.5" style="986" customWidth="1"/>
    <col min="13578" max="13824" width="12" style="986"/>
    <col min="13825" max="13825" width="151" style="986" customWidth="1"/>
    <col min="13826" max="13826" width="60.83203125" style="986" customWidth="1"/>
    <col min="13827" max="13827" width="50.5" style="986" customWidth="1"/>
    <col min="13828" max="13829" width="60.83203125" style="986" customWidth="1"/>
    <col min="13830" max="13830" width="60.6640625" style="986" customWidth="1"/>
    <col min="13831" max="13831" width="60.83203125" style="986" customWidth="1"/>
    <col min="13832" max="13832" width="12" style="986" customWidth="1"/>
    <col min="13833" max="13833" width="22.5" style="986" customWidth="1"/>
    <col min="13834" max="14080" width="12" style="986"/>
    <col min="14081" max="14081" width="151" style="986" customWidth="1"/>
    <col min="14082" max="14082" width="60.83203125" style="986" customWidth="1"/>
    <col min="14083" max="14083" width="50.5" style="986" customWidth="1"/>
    <col min="14084" max="14085" width="60.83203125" style="986" customWidth="1"/>
    <col min="14086" max="14086" width="60.6640625" style="986" customWidth="1"/>
    <col min="14087" max="14087" width="60.83203125" style="986" customWidth="1"/>
    <col min="14088" max="14088" width="12" style="986" customWidth="1"/>
    <col min="14089" max="14089" width="22.5" style="986" customWidth="1"/>
    <col min="14090" max="14336" width="12" style="986"/>
    <col min="14337" max="14337" width="151" style="986" customWidth="1"/>
    <col min="14338" max="14338" width="60.83203125" style="986" customWidth="1"/>
    <col min="14339" max="14339" width="50.5" style="986" customWidth="1"/>
    <col min="14340" max="14341" width="60.83203125" style="986" customWidth="1"/>
    <col min="14342" max="14342" width="60.6640625" style="986" customWidth="1"/>
    <col min="14343" max="14343" width="60.83203125" style="986" customWidth="1"/>
    <col min="14344" max="14344" width="12" style="986" customWidth="1"/>
    <col min="14345" max="14345" width="22.5" style="986" customWidth="1"/>
    <col min="14346" max="14592" width="12" style="986"/>
    <col min="14593" max="14593" width="151" style="986" customWidth="1"/>
    <col min="14594" max="14594" width="60.83203125" style="986" customWidth="1"/>
    <col min="14595" max="14595" width="50.5" style="986" customWidth="1"/>
    <col min="14596" max="14597" width="60.83203125" style="986" customWidth="1"/>
    <col min="14598" max="14598" width="60.6640625" style="986" customWidth="1"/>
    <col min="14599" max="14599" width="60.83203125" style="986" customWidth="1"/>
    <col min="14600" max="14600" width="12" style="986" customWidth="1"/>
    <col min="14601" max="14601" width="22.5" style="986" customWidth="1"/>
    <col min="14602" max="14848" width="12" style="986"/>
    <col min="14849" max="14849" width="151" style="986" customWidth="1"/>
    <col min="14850" max="14850" width="60.83203125" style="986" customWidth="1"/>
    <col min="14851" max="14851" width="50.5" style="986" customWidth="1"/>
    <col min="14852" max="14853" width="60.83203125" style="986" customWidth="1"/>
    <col min="14854" max="14854" width="60.6640625" style="986" customWidth="1"/>
    <col min="14855" max="14855" width="60.83203125" style="986" customWidth="1"/>
    <col min="14856" max="14856" width="12" style="986" customWidth="1"/>
    <col min="14857" max="14857" width="22.5" style="986" customWidth="1"/>
    <col min="14858" max="15104" width="12" style="986"/>
    <col min="15105" max="15105" width="151" style="986" customWidth="1"/>
    <col min="15106" max="15106" width="60.83203125" style="986" customWidth="1"/>
    <col min="15107" max="15107" width="50.5" style="986" customWidth="1"/>
    <col min="15108" max="15109" width="60.83203125" style="986" customWidth="1"/>
    <col min="15110" max="15110" width="60.6640625" style="986" customWidth="1"/>
    <col min="15111" max="15111" width="60.83203125" style="986" customWidth="1"/>
    <col min="15112" max="15112" width="12" style="986" customWidth="1"/>
    <col min="15113" max="15113" width="22.5" style="986" customWidth="1"/>
    <col min="15114" max="15360" width="12" style="986"/>
    <col min="15361" max="15361" width="151" style="986" customWidth="1"/>
    <col min="15362" max="15362" width="60.83203125" style="986" customWidth="1"/>
    <col min="15363" max="15363" width="50.5" style="986" customWidth="1"/>
    <col min="15364" max="15365" width="60.83203125" style="986" customWidth="1"/>
    <col min="15366" max="15366" width="60.6640625" style="986" customWidth="1"/>
    <col min="15367" max="15367" width="60.83203125" style="986" customWidth="1"/>
    <col min="15368" max="15368" width="12" style="986" customWidth="1"/>
    <col min="15369" max="15369" width="22.5" style="986" customWidth="1"/>
    <col min="15370" max="15616" width="12" style="986"/>
    <col min="15617" max="15617" width="151" style="986" customWidth="1"/>
    <col min="15618" max="15618" width="60.83203125" style="986" customWidth="1"/>
    <col min="15619" max="15619" width="50.5" style="986" customWidth="1"/>
    <col min="15620" max="15621" width="60.83203125" style="986" customWidth="1"/>
    <col min="15622" max="15622" width="60.6640625" style="986" customWidth="1"/>
    <col min="15623" max="15623" width="60.83203125" style="986" customWidth="1"/>
    <col min="15624" max="15624" width="12" style="986" customWidth="1"/>
    <col min="15625" max="15625" width="22.5" style="986" customWidth="1"/>
    <col min="15626" max="15872" width="12" style="986"/>
    <col min="15873" max="15873" width="151" style="986" customWidth="1"/>
    <col min="15874" max="15874" width="60.83203125" style="986" customWidth="1"/>
    <col min="15875" max="15875" width="50.5" style="986" customWidth="1"/>
    <col min="15876" max="15877" width="60.83203125" style="986" customWidth="1"/>
    <col min="15878" max="15878" width="60.6640625" style="986" customWidth="1"/>
    <col min="15879" max="15879" width="60.83203125" style="986" customWidth="1"/>
    <col min="15880" max="15880" width="12" style="986" customWidth="1"/>
    <col min="15881" max="15881" width="22.5" style="986" customWidth="1"/>
    <col min="15882" max="16128" width="12" style="986"/>
    <col min="16129" max="16129" width="151" style="986" customWidth="1"/>
    <col min="16130" max="16130" width="60.83203125" style="986" customWidth="1"/>
    <col min="16131" max="16131" width="50.5" style="986" customWidth="1"/>
    <col min="16132" max="16133" width="60.83203125" style="986" customWidth="1"/>
    <col min="16134" max="16134" width="60.6640625" style="986" customWidth="1"/>
    <col min="16135" max="16135" width="60.83203125" style="986" customWidth="1"/>
    <col min="16136" max="16136" width="12" style="986" customWidth="1"/>
    <col min="16137" max="16137" width="22.5" style="986" customWidth="1"/>
    <col min="16138" max="16384" width="12" style="986"/>
  </cols>
  <sheetData>
    <row r="1" spans="1:9" s="982" customFormat="1" ht="45" customHeight="1" x14ac:dyDescent="0.7">
      <c r="A1" s="1949" t="s">
        <v>1184</v>
      </c>
      <c r="B1" s="1949"/>
      <c r="C1" s="1949"/>
      <c r="D1" s="1949"/>
      <c r="E1" s="1949"/>
      <c r="F1" s="1949"/>
      <c r="G1" s="1949"/>
      <c r="I1" s="983"/>
    </row>
    <row r="2" spans="1:9" s="982" customFormat="1" ht="44.25" customHeight="1" x14ac:dyDescent="0.7">
      <c r="A2" s="1949" t="s">
        <v>1185</v>
      </c>
      <c r="B2" s="1949"/>
      <c r="C2" s="1949"/>
      <c r="D2" s="1949"/>
      <c r="E2" s="1949"/>
      <c r="F2" s="1949"/>
      <c r="G2" s="1949"/>
      <c r="I2" s="983"/>
    </row>
    <row r="3" spans="1:9" ht="44.25" customHeight="1" thickBot="1" x14ac:dyDescent="0.55000000000000004">
      <c r="A3" s="984"/>
      <c r="B3" s="1950"/>
      <c r="C3" s="1950"/>
      <c r="D3" s="1950"/>
      <c r="E3" s="1950"/>
      <c r="F3" s="985"/>
      <c r="G3" s="985"/>
    </row>
    <row r="4" spans="1:9" s="982" customFormat="1" ht="108.75" customHeight="1" thickBot="1" x14ac:dyDescent="0.55000000000000004">
      <c r="A4" s="988"/>
      <c r="B4" s="1951" t="s">
        <v>1105</v>
      </c>
      <c r="C4" s="1952"/>
      <c r="D4" s="1952"/>
      <c r="E4" s="1953"/>
      <c r="F4" s="1954" t="s">
        <v>1186</v>
      </c>
      <c r="G4" s="1955"/>
      <c r="I4" s="989"/>
    </row>
    <row r="5" spans="1:9" s="982" customFormat="1" ht="45.75" customHeight="1" thickBot="1" x14ac:dyDescent="0.55000000000000004">
      <c r="A5" s="990" t="s">
        <v>1187</v>
      </c>
      <c r="B5" s="1958" t="s">
        <v>1188</v>
      </c>
      <c r="C5" s="1959"/>
      <c r="D5" s="1947" t="s">
        <v>1189</v>
      </c>
      <c r="E5" s="1960"/>
      <c r="F5" s="1956"/>
      <c r="G5" s="1957"/>
      <c r="I5" s="989"/>
    </row>
    <row r="6" spans="1:9" s="982" customFormat="1" ht="42" customHeight="1" thickBot="1" x14ac:dyDescent="0.55000000000000004">
      <c r="A6" s="990"/>
      <c r="B6" s="1947" t="s">
        <v>1190</v>
      </c>
      <c r="C6" s="1948"/>
      <c r="D6" s="1947" t="s">
        <v>1190</v>
      </c>
      <c r="E6" s="1948"/>
      <c r="F6" s="991"/>
      <c r="G6" s="991"/>
      <c r="I6" s="989"/>
    </row>
    <row r="7" spans="1:9" s="982" customFormat="1" ht="44.25" customHeight="1" thickBot="1" x14ac:dyDescent="0.55000000000000004">
      <c r="A7" s="992"/>
      <c r="B7" s="993" t="s">
        <v>1191</v>
      </c>
      <c r="C7" s="994" t="s">
        <v>1192</v>
      </c>
      <c r="D7" s="993" t="s">
        <v>1191</v>
      </c>
      <c r="E7" s="994" t="s">
        <v>1192</v>
      </c>
      <c r="F7" s="991" t="s">
        <v>1191</v>
      </c>
      <c r="G7" s="991" t="s">
        <v>1193</v>
      </c>
      <c r="I7" s="989"/>
    </row>
    <row r="8" spans="1:9" s="998" customFormat="1" ht="90.75" customHeight="1" x14ac:dyDescent="0.5">
      <c r="A8" s="995" t="s">
        <v>1194</v>
      </c>
      <c r="B8" s="996"/>
      <c r="C8" s="997"/>
      <c r="D8" s="997"/>
      <c r="E8" s="997"/>
      <c r="F8" s="997"/>
      <c r="G8" s="997"/>
      <c r="I8" s="999"/>
    </row>
    <row r="9" spans="1:9" s="1006" customFormat="1" ht="45.75" customHeight="1" x14ac:dyDescent="0.55000000000000004">
      <c r="A9" s="1000" t="s">
        <v>1144</v>
      </c>
      <c r="B9" s="1001">
        <f>'[5]létszám ei mód RM III.'!F9</f>
        <v>33</v>
      </c>
      <c r="C9" s="1002">
        <f>'[5]létszám ei mód RM III.'!G9</f>
        <v>33</v>
      </c>
      <c r="D9" s="1003">
        <f>'[5]létszám ei mód RM III.'!L9</f>
        <v>1</v>
      </c>
      <c r="E9" s="1002">
        <f>'[5]létszám ei mód RM III.'!M9</f>
        <v>1</v>
      </c>
      <c r="F9" s="1004">
        <f t="shared" ref="F9:G26" si="0">B9+D9</f>
        <v>34</v>
      </c>
      <c r="G9" s="1005">
        <f t="shared" si="0"/>
        <v>34</v>
      </c>
      <c r="I9" s="987"/>
    </row>
    <row r="10" spans="1:9" s="1006" customFormat="1" ht="45.75" customHeight="1" x14ac:dyDescent="0.55000000000000004">
      <c r="A10" s="1007" t="s">
        <v>1145</v>
      </c>
      <c r="B10" s="1008">
        <f>'[5]létszám ei mód RM III.'!F10</f>
        <v>23</v>
      </c>
      <c r="C10" s="1009">
        <f>'[5]létszám ei mód RM III.'!G10</f>
        <v>23</v>
      </c>
      <c r="D10" s="1008">
        <f>'[5]létszám ei mód RM III.'!L10</f>
        <v>1</v>
      </c>
      <c r="E10" s="1009">
        <f>'[5]létszám ei mód RM III.'!M10</f>
        <v>1</v>
      </c>
      <c r="F10" s="1010">
        <f t="shared" si="0"/>
        <v>24</v>
      </c>
      <c r="G10" s="1011">
        <f t="shared" si="0"/>
        <v>24</v>
      </c>
      <c r="I10" s="987"/>
    </row>
    <row r="11" spans="1:9" s="1006" customFormat="1" ht="45.75" customHeight="1" x14ac:dyDescent="0.55000000000000004">
      <c r="A11" s="1007" t="s">
        <v>1146</v>
      </c>
      <c r="B11" s="1001">
        <f>'[5]létszám ei mód RM III.'!F11</f>
        <v>23</v>
      </c>
      <c r="C11" s="1002">
        <f>'[5]létszám ei mód RM III.'!G11</f>
        <v>23</v>
      </c>
      <c r="D11" s="1003">
        <f>'[5]létszám ei mód RM III.'!L11</f>
        <v>1</v>
      </c>
      <c r="E11" s="1002">
        <f>'[5]létszám ei mód RM III.'!M11</f>
        <v>1</v>
      </c>
      <c r="F11" s="1004">
        <f t="shared" si="0"/>
        <v>24</v>
      </c>
      <c r="G11" s="1005">
        <f t="shared" si="0"/>
        <v>24</v>
      </c>
      <c r="I11" s="987"/>
    </row>
    <row r="12" spans="1:9" s="1006" customFormat="1" ht="45.75" customHeight="1" x14ac:dyDescent="0.55000000000000004">
      <c r="A12" s="1007" t="s">
        <v>1147</v>
      </c>
      <c r="B12" s="1008">
        <f>'[5]létszám ei mód RM III.'!F12</f>
        <v>28</v>
      </c>
      <c r="C12" s="1009">
        <f>'[5]létszám ei mód RM III.'!G12</f>
        <v>28</v>
      </c>
      <c r="D12" s="1008">
        <f>'[5]létszám ei mód RM III.'!L12</f>
        <v>1</v>
      </c>
      <c r="E12" s="1009">
        <f>'[5]létszám ei mód RM III.'!M12</f>
        <v>1</v>
      </c>
      <c r="F12" s="1010">
        <f t="shared" si="0"/>
        <v>29</v>
      </c>
      <c r="G12" s="1011">
        <f t="shared" si="0"/>
        <v>29</v>
      </c>
      <c r="I12" s="987"/>
    </row>
    <row r="13" spans="1:9" s="1006" customFormat="1" ht="45.75" customHeight="1" x14ac:dyDescent="0.55000000000000004">
      <c r="A13" s="1007" t="s">
        <v>1148</v>
      </c>
      <c r="B13" s="1008">
        <f>'[5]létszám ei mód RM III.'!F13</f>
        <v>26</v>
      </c>
      <c r="C13" s="1009">
        <f>'[5]létszám ei mód RM III.'!G13</f>
        <v>26</v>
      </c>
      <c r="D13" s="1008">
        <f>'[5]létszám ei mód RM III.'!L13</f>
        <v>1</v>
      </c>
      <c r="E13" s="1009">
        <f>'[5]létszám ei mód RM III.'!M13</f>
        <v>1</v>
      </c>
      <c r="F13" s="1010">
        <f t="shared" si="0"/>
        <v>27</v>
      </c>
      <c r="G13" s="1011">
        <f t="shared" si="0"/>
        <v>27</v>
      </c>
      <c r="I13" s="987"/>
    </row>
    <row r="14" spans="1:9" s="1006" customFormat="1" ht="45.75" customHeight="1" x14ac:dyDescent="0.55000000000000004">
      <c r="A14" s="1007" t="s">
        <v>1149</v>
      </c>
      <c r="B14" s="1008">
        <f>'[5]létszám ei mód RM III.'!F14</f>
        <v>23</v>
      </c>
      <c r="C14" s="1009">
        <f>'[5]létszám ei mód RM III.'!G14</f>
        <v>23</v>
      </c>
      <c r="D14" s="1008">
        <f>'[5]létszám ei mód RM III.'!L14</f>
        <v>1</v>
      </c>
      <c r="E14" s="1009">
        <f>'[5]létszám ei mód RM III.'!M14</f>
        <v>1</v>
      </c>
      <c r="F14" s="1010">
        <f t="shared" si="0"/>
        <v>24</v>
      </c>
      <c r="G14" s="1011">
        <f t="shared" si="0"/>
        <v>24</v>
      </c>
      <c r="I14" s="987"/>
    </row>
    <row r="15" spans="1:9" s="1006" customFormat="1" ht="45.75" customHeight="1" x14ac:dyDescent="0.55000000000000004">
      <c r="A15" s="1007" t="s">
        <v>1150</v>
      </c>
      <c r="B15" s="1008">
        <f>'[5]létszám ei mód RM III.'!F15</f>
        <v>19</v>
      </c>
      <c r="C15" s="1009">
        <f>'[5]létszám ei mód RM III.'!G15</f>
        <v>19</v>
      </c>
      <c r="D15" s="1008">
        <f>'[5]létszám ei mód RM III.'!L15</f>
        <v>1</v>
      </c>
      <c r="E15" s="1009">
        <f>'[5]létszám ei mód RM III.'!M15</f>
        <v>1</v>
      </c>
      <c r="F15" s="1010">
        <f t="shared" si="0"/>
        <v>20</v>
      </c>
      <c r="G15" s="1011">
        <f t="shared" si="0"/>
        <v>20</v>
      </c>
      <c r="I15" s="987"/>
    </row>
    <row r="16" spans="1:9" s="1006" customFormat="1" ht="45.75" customHeight="1" x14ac:dyDescent="0.55000000000000004">
      <c r="A16" s="1007" t="s">
        <v>1151</v>
      </c>
      <c r="B16" s="1008">
        <f>'[5]létszám ei mód RM III.'!F16</f>
        <v>18</v>
      </c>
      <c r="C16" s="1009">
        <f>'[5]létszám ei mód RM III.'!G16</f>
        <v>18</v>
      </c>
      <c r="D16" s="1008">
        <f>'[5]létszám ei mód RM III.'!L16</f>
        <v>1</v>
      </c>
      <c r="E16" s="1009">
        <f>'[5]létszám ei mód RM III.'!M16</f>
        <v>1</v>
      </c>
      <c r="F16" s="1010">
        <f t="shared" si="0"/>
        <v>19</v>
      </c>
      <c r="G16" s="1011">
        <f t="shared" si="0"/>
        <v>19</v>
      </c>
      <c r="I16" s="987"/>
    </row>
    <row r="17" spans="1:9" s="1006" customFormat="1" ht="45.75" customHeight="1" x14ac:dyDescent="0.55000000000000004">
      <c r="A17" s="1007" t="s">
        <v>1152</v>
      </c>
      <c r="B17" s="1008">
        <f>'[5]létszám ei mód RM III.'!F17</f>
        <v>27</v>
      </c>
      <c r="C17" s="1009">
        <f>'[5]létszám ei mód RM III.'!G17</f>
        <v>27</v>
      </c>
      <c r="D17" s="1008">
        <f>'[5]létszám ei mód RM III.'!L17</f>
        <v>1</v>
      </c>
      <c r="E17" s="1009">
        <f>'[5]létszám ei mód RM III.'!M17</f>
        <v>1</v>
      </c>
      <c r="F17" s="1010">
        <f t="shared" si="0"/>
        <v>28</v>
      </c>
      <c r="G17" s="1011">
        <f t="shared" si="0"/>
        <v>28</v>
      </c>
      <c r="I17" s="987"/>
    </row>
    <row r="18" spans="1:9" s="1006" customFormat="1" ht="45.75" customHeight="1" x14ac:dyDescent="0.55000000000000004">
      <c r="A18" s="1007" t="s">
        <v>1153</v>
      </c>
      <c r="B18" s="1008">
        <f>'[5]létszám ei mód RM III.'!F18</f>
        <v>30</v>
      </c>
      <c r="C18" s="1009">
        <f>'[5]létszám ei mód RM III.'!G18</f>
        <v>30</v>
      </c>
      <c r="D18" s="1008">
        <f>'[5]létszám ei mód RM III.'!L18</f>
        <v>1</v>
      </c>
      <c r="E18" s="1009">
        <f>'[5]létszám ei mód RM III.'!M18</f>
        <v>1</v>
      </c>
      <c r="F18" s="1010">
        <f t="shared" si="0"/>
        <v>31</v>
      </c>
      <c r="G18" s="1011">
        <f t="shared" si="0"/>
        <v>31</v>
      </c>
      <c r="I18" s="987"/>
    </row>
    <row r="19" spans="1:9" s="1006" customFormat="1" ht="45.75" customHeight="1" x14ac:dyDescent="0.55000000000000004">
      <c r="A19" s="1007" t="s">
        <v>1154</v>
      </c>
      <c r="B19" s="1008">
        <f>'[5]létszám ei mód RM III.'!F19</f>
        <v>15</v>
      </c>
      <c r="C19" s="1009">
        <f>'[5]létszám ei mód RM III.'!G19</f>
        <v>15</v>
      </c>
      <c r="D19" s="1008">
        <f>'[5]létszám ei mód RM III.'!L19</f>
        <v>1</v>
      </c>
      <c r="E19" s="1009">
        <f>'[5]létszám ei mód RM III.'!M19</f>
        <v>1</v>
      </c>
      <c r="F19" s="1010">
        <f t="shared" si="0"/>
        <v>16</v>
      </c>
      <c r="G19" s="1011">
        <f t="shared" si="0"/>
        <v>16</v>
      </c>
      <c r="I19" s="987"/>
    </row>
    <row r="20" spans="1:9" s="1006" customFormat="1" ht="45.75" customHeight="1" x14ac:dyDescent="0.55000000000000004">
      <c r="A20" s="1007" t="s">
        <v>1155</v>
      </c>
      <c r="B20" s="1008">
        <f>'[5]létszám ei mód RM III.'!F20</f>
        <v>13.5</v>
      </c>
      <c r="C20" s="1009">
        <f>'[5]létszám ei mód RM III.'!G20</f>
        <v>13</v>
      </c>
      <c r="D20" s="1008">
        <f>'[5]létszám ei mód RM III.'!L20</f>
        <v>1.5</v>
      </c>
      <c r="E20" s="1009">
        <f>'[5]létszám ei mód RM III.'!M20</f>
        <v>2</v>
      </c>
      <c r="F20" s="1010">
        <f t="shared" si="0"/>
        <v>15</v>
      </c>
      <c r="G20" s="1011">
        <f t="shared" si="0"/>
        <v>15</v>
      </c>
      <c r="I20" s="987"/>
    </row>
    <row r="21" spans="1:9" s="1006" customFormat="1" ht="45.75" customHeight="1" x14ac:dyDescent="0.55000000000000004">
      <c r="A21" s="1007" t="s">
        <v>1156</v>
      </c>
      <c r="B21" s="1008">
        <f>'[5]létszám ei mód RM III.'!F21</f>
        <v>19</v>
      </c>
      <c r="C21" s="1009">
        <f>'[5]létszám ei mód RM III.'!G21</f>
        <v>19</v>
      </c>
      <c r="D21" s="1008">
        <f>'[5]létszám ei mód RM III.'!L21</f>
        <v>1</v>
      </c>
      <c r="E21" s="1009">
        <f>'[5]létszám ei mód RM III.'!M21</f>
        <v>1</v>
      </c>
      <c r="F21" s="1010">
        <f t="shared" si="0"/>
        <v>20</v>
      </c>
      <c r="G21" s="1011">
        <f t="shared" si="0"/>
        <v>20</v>
      </c>
      <c r="I21" s="987"/>
    </row>
    <row r="22" spans="1:9" s="1006" customFormat="1" ht="45.75" customHeight="1" x14ac:dyDescent="0.55000000000000004">
      <c r="A22" s="1007" t="s">
        <v>1157</v>
      </c>
      <c r="B22" s="1008">
        <f>'[5]létszám ei mód RM III.'!F22</f>
        <v>20</v>
      </c>
      <c r="C22" s="1009">
        <f>'[5]létszám ei mód RM III.'!G22</f>
        <v>20</v>
      </c>
      <c r="D22" s="1008">
        <f>'[5]létszám ei mód RM III.'!L22</f>
        <v>1</v>
      </c>
      <c r="E22" s="1009">
        <f>'[5]létszám ei mód RM III.'!M22</f>
        <v>1</v>
      </c>
      <c r="F22" s="1010">
        <f t="shared" si="0"/>
        <v>21</v>
      </c>
      <c r="G22" s="1011">
        <f t="shared" si="0"/>
        <v>21</v>
      </c>
      <c r="I22" s="987"/>
    </row>
    <row r="23" spans="1:9" s="1006" customFormat="1" ht="45.75" customHeight="1" x14ac:dyDescent="0.55000000000000004">
      <c r="A23" s="1007" t="s">
        <v>1158</v>
      </c>
      <c r="B23" s="1008">
        <f>'[5]létszám ei mód RM III.'!F23</f>
        <v>30</v>
      </c>
      <c r="C23" s="1009">
        <f>'[5]létszám ei mód RM III.'!G23</f>
        <v>30</v>
      </c>
      <c r="D23" s="1008">
        <f>'[5]létszám ei mód RM III.'!L23</f>
        <v>1</v>
      </c>
      <c r="E23" s="1009">
        <f>'[5]létszám ei mód RM III.'!M23</f>
        <v>1</v>
      </c>
      <c r="F23" s="1010">
        <f t="shared" si="0"/>
        <v>31</v>
      </c>
      <c r="G23" s="1011">
        <f t="shared" si="0"/>
        <v>31</v>
      </c>
      <c r="I23" s="987"/>
    </row>
    <row r="24" spans="1:9" s="1006" customFormat="1" ht="45.75" customHeight="1" x14ac:dyDescent="0.55000000000000004">
      <c r="A24" s="1007" t="s">
        <v>1183</v>
      </c>
      <c r="B24" s="1008">
        <f>'[5]létszám ei mód RM III.'!F24</f>
        <v>23</v>
      </c>
      <c r="C24" s="1009">
        <f>'[5]létszám ei mód RM III.'!G24</f>
        <v>23</v>
      </c>
      <c r="D24" s="1008">
        <f>'[5]létszám ei mód RM III.'!L24</f>
        <v>1</v>
      </c>
      <c r="E24" s="1009">
        <f>'[5]létszám ei mód RM III.'!M24</f>
        <v>1</v>
      </c>
      <c r="F24" s="1010">
        <f t="shared" si="0"/>
        <v>24</v>
      </c>
      <c r="G24" s="1011">
        <f t="shared" si="0"/>
        <v>24</v>
      </c>
      <c r="I24" s="987"/>
    </row>
    <row r="25" spans="1:9" s="1006" customFormat="1" ht="45.75" customHeight="1" x14ac:dyDescent="0.55000000000000004">
      <c r="A25" s="1000" t="s">
        <v>1160</v>
      </c>
      <c r="B25" s="1008">
        <f>'[5]létszám ei mód RM III.'!F25</f>
        <v>17</v>
      </c>
      <c r="C25" s="1009">
        <f>'[5]létszám ei mód RM III.'!G25</f>
        <v>17</v>
      </c>
      <c r="D25" s="1008">
        <f>'[5]létszám ei mód RM III.'!L25</f>
        <v>1</v>
      </c>
      <c r="E25" s="1009">
        <f>'[5]létszám ei mód RM III.'!M25</f>
        <v>1</v>
      </c>
      <c r="F25" s="1010">
        <f t="shared" si="0"/>
        <v>18</v>
      </c>
      <c r="G25" s="1011">
        <f t="shared" si="0"/>
        <v>18</v>
      </c>
      <c r="I25" s="987"/>
    </row>
    <row r="26" spans="1:9" s="1006" customFormat="1" ht="45.75" customHeight="1" thickBot="1" x14ac:dyDescent="0.6">
      <c r="A26" s="1012" t="s">
        <v>1161</v>
      </c>
      <c r="B26" s="1001">
        <f>'[5]létszám ei mód RM III.'!F26</f>
        <v>11.5</v>
      </c>
      <c r="C26" s="1002">
        <f>'[5]létszám ei mód RM III.'!G26</f>
        <v>12</v>
      </c>
      <c r="D26" s="1003">
        <f>'[5]létszám ei mód RM III.'!L26</f>
        <v>1.5</v>
      </c>
      <c r="E26" s="1002">
        <f>'[5]létszám ei mód RM III.'!M26</f>
        <v>1</v>
      </c>
      <c r="F26" s="1004">
        <f t="shared" si="0"/>
        <v>13</v>
      </c>
      <c r="G26" s="1005">
        <f t="shared" si="0"/>
        <v>13</v>
      </c>
      <c r="I26" s="987"/>
    </row>
    <row r="27" spans="1:9" s="1006" customFormat="1" ht="45.75" customHeight="1" thickBot="1" x14ac:dyDescent="0.6">
      <c r="A27" s="1013" t="s">
        <v>1195</v>
      </c>
      <c r="B27" s="1014">
        <f t="shared" ref="B27:G27" si="1">SUM(B9:B26)</f>
        <v>399</v>
      </c>
      <c r="C27" s="1015">
        <f t="shared" si="1"/>
        <v>399</v>
      </c>
      <c r="D27" s="1014">
        <f t="shared" si="1"/>
        <v>19</v>
      </c>
      <c r="E27" s="1015">
        <f t="shared" si="1"/>
        <v>19</v>
      </c>
      <c r="F27" s="1014">
        <f t="shared" si="1"/>
        <v>418</v>
      </c>
      <c r="G27" s="1015">
        <f t="shared" si="1"/>
        <v>418</v>
      </c>
      <c r="I27" s="987"/>
    </row>
    <row r="28" spans="1:9" s="1006" customFormat="1" ht="44.25" customHeight="1" thickBot="1" x14ac:dyDescent="0.6">
      <c r="A28" s="1016" t="s">
        <v>115</v>
      </c>
      <c r="B28" s="1001">
        <f>'[5]létszám ei mód RM III.'!F28</f>
        <v>0</v>
      </c>
      <c r="C28" s="1002">
        <f>'[5]létszám ei mód RM III.'!G28</f>
        <v>0</v>
      </c>
      <c r="D28" s="1003">
        <f>'[5]létszám ei mód RM III.'!L28</f>
        <v>44</v>
      </c>
      <c r="E28" s="1002">
        <f>'[5]létszám ei mód RM III.'!M28</f>
        <v>44</v>
      </c>
      <c r="F28" s="1004">
        <f>B28+D28</f>
        <v>44</v>
      </c>
      <c r="G28" s="1005">
        <f>C28+E28</f>
        <v>44</v>
      </c>
      <c r="I28" s="987"/>
    </row>
    <row r="29" spans="1:9" s="1006" customFormat="1" ht="42.75" customHeight="1" thickBot="1" x14ac:dyDescent="0.6">
      <c r="A29" s="1013" t="s">
        <v>1196</v>
      </c>
      <c r="B29" s="1014">
        <f t="shared" ref="B29:G29" si="2">SUM(B27:B28)</f>
        <v>399</v>
      </c>
      <c r="C29" s="1017">
        <f t="shared" si="2"/>
        <v>399</v>
      </c>
      <c r="D29" s="1014">
        <f t="shared" si="2"/>
        <v>63</v>
      </c>
      <c r="E29" s="1017">
        <f t="shared" si="2"/>
        <v>63</v>
      </c>
      <c r="F29" s="1014">
        <f t="shared" si="2"/>
        <v>462</v>
      </c>
      <c r="G29" s="1017">
        <f t="shared" si="2"/>
        <v>462</v>
      </c>
      <c r="I29" s="987"/>
    </row>
    <row r="30" spans="1:9" s="1006" customFormat="1" ht="42.75" customHeight="1" x14ac:dyDescent="0.55000000000000004">
      <c r="A30" s="1018" t="s">
        <v>1164</v>
      </c>
      <c r="B30" s="1004"/>
      <c r="C30" s="1004"/>
      <c r="D30" s="1004"/>
      <c r="E30" s="1004"/>
      <c r="F30" s="1004"/>
      <c r="G30" s="1004"/>
      <c r="I30" s="987"/>
    </row>
    <row r="31" spans="1:9" s="1006" customFormat="1" ht="45.75" customHeight="1" x14ac:dyDescent="0.55000000000000004">
      <c r="A31" s="995" t="s">
        <v>1197</v>
      </c>
      <c r="B31" s="1004"/>
      <c r="C31" s="1004"/>
      <c r="D31" s="1004"/>
      <c r="E31" s="1004"/>
      <c r="F31" s="1004"/>
      <c r="G31" s="1004"/>
      <c r="I31" s="987"/>
    </row>
    <row r="32" spans="1:9" s="1006" customFormat="1" ht="44.25" customHeight="1" x14ac:dyDescent="0.55000000000000004">
      <c r="A32" s="1019" t="s">
        <v>195</v>
      </c>
      <c r="B32" s="1003">
        <f>'[5]létszám ei mód RM III.'!F32</f>
        <v>18</v>
      </c>
      <c r="C32" s="1002">
        <f>'[5]létszám ei mód RM III.'!G32</f>
        <v>18</v>
      </c>
      <c r="D32" s="1003">
        <f>'[5]létszám ei mód RM III.'!L32</f>
        <v>1.75</v>
      </c>
      <c r="E32" s="1002">
        <f>'[5]létszám ei mód RM III.'!M32</f>
        <v>2</v>
      </c>
      <c r="F32" s="1004">
        <f t="shared" ref="F32:G35" si="3">B32+D32</f>
        <v>19.75</v>
      </c>
      <c r="G32" s="1005">
        <f t="shared" si="3"/>
        <v>20</v>
      </c>
      <c r="I32" s="987"/>
    </row>
    <row r="33" spans="1:9" s="1006" customFormat="1" ht="44.25" customHeight="1" x14ac:dyDescent="0.55000000000000004">
      <c r="A33" s="1007" t="s">
        <v>1166</v>
      </c>
      <c r="B33" s="1020">
        <f>'[5]létszám ei mód RM III.'!F33</f>
        <v>77</v>
      </c>
      <c r="C33" s="1009">
        <f>'[5]létszám ei mód RM III.'!G33</f>
        <v>77</v>
      </c>
      <c r="D33" s="1008">
        <f>'[5]létszám ei mód RM III.'!L33</f>
        <v>7.5</v>
      </c>
      <c r="E33" s="1009">
        <f>'[5]létszám ei mód RM III.'!M33</f>
        <v>7</v>
      </c>
      <c r="F33" s="1010">
        <f t="shared" si="3"/>
        <v>84.5</v>
      </c>
      <c r="G33" s="1011">
        <f t="shared" si="3"/>
        <v>84</v>
      </c>
      <c r="I33" s="987"/>
    </row>
    <row r="34" spans="1:9" s="1006" customFormat="1" ht="44.25" customHeight="1" x14ac:dyDescent="0.55000000000000004">
      <c r="A34" s="1007" t="s">
        <v>414</v>
      </c>
      <c r="B34" s="1020">
        <f>'[5]létszám ei mód RM III.'!F34</f>
        <v>35</v>
      </c>
      <c r="C34" s="1009">
        <f>'[5]létszám ei mód RM III.'!G34</f>
        <v>35</v>
      </c>
      <c r="D34" s="1008">
        <f>'[5]létszám ei mód RM III.'!L34</f>
        <v>11</v>
      </c>
      <c r="E34" s="1009">
        <f>'[5]létszám ei mód RM III.'!M34</f>
        <v>11</v>
      </c>
      <c r="F34" s="1010">
        <f t="shared" si="3"/>
        <v>46</v>
      </c>
      <c r="G34" s="1011">
        <f t="shared" si="3"/>
        <v>46</v>
      </c>
      <c r="I34" s="987"/>
    </row>
    <row r="35" spans="1:9" s="1006" customFormat="1" ht="44.25" customHeight="1" thickBot="1" x14ac:dyDescent="0.6">
      <c r="A35" s="1021" t="s">
        <v>1167</v>
      </c>
      <c r="B35" s="1003">
        <f>'[5]létszám ei mód RM III.'!F35</f>
        <v>66.5</v>
      </c>
      <c r="C35" s="1002">
        <f>'[5]létszám ei mód RM III.'!G35</f>
        <v>67</v>
      </c>
      <c r="D35" s="1003">
        <f>'[5]létszám ei mód RM III.'!L35</f>
        <v>34.25</v>
      </c>
      <c r="E35" s="1002">
        <f>'[5]létszám ei mód RM III.'!M35</f>
        <v>34</v>
      </c>
      <c r="F35" s="1004">
        <f t="shared" si="3"/>
        <v>100.75</v>
      </c>
      <c r="G35" s="1005">
        <f t="shared" si="3"/>
        <v>101</v>
      </c>
      <c r="I35" s="987"/>
    </row>
    <row r="36" spans="1:9" s="1006" customFormat="1" ht="44.25" customHeight="1" thickBot="1" x14ac:dyDescent="0.6">
      <c r="A36" s="1013" t="s">
        <v>1198</v>
      </c>
      <c r="B36" s="1022">
        <f t="shared" ref="B36:G36" si="4">SUM(B32:B35)</f>
        <v>196.5</v>
      </c>
      <c r="C36" s="1017">
        <f t="shared" si="4"/>
        <v>197</v>
      </c>
      <c r="D36" s="1022">
        <f t="shared" si="4"/>
        <v>54.5</v>
      </c>
      <c r="E36" s="1017">
        <f t="shared" si="4"/>
        <v>54</v>
      </c>
      <c r="F36" s="1022">
        <f t="shared" si="4"/>
        <v>251</v>
      </c>
      <c r="G36" s="1017">
        <f t="shared" si="4"/>
        <v>251</v>
      </c>
      <c r="I36" s="987"/>
    </row>
    <row r="37" spans="1:9" s="1006" customFormat="1" ht="45.75" customHeight="1" x14ac:dyDescent="0.55000000000000004">
      <c r="A37" s="1018" t="s">
        <v>1169</v>
      </c>
      <c r="B37" s="1023"/>
      <c r="C37" s="1023"/>
      <c r="D37" s="1023"/>
      <c r="E37" s="1023"/>
      <c r="F37" s="1023"/>
      <c r="G37" s="1023"/>
      <c r="I37" s="987"/>
    </row>
    <row r="38" spans="1:9" s="1006" customFormat="1" ht="69" thickBot="1" x14ac:dyDescent="0.6">
      <c r="A38" s="1019" t="s">
        <v>548</v>
      </c>
      <c r="B38" s="1001">
        <f>'[5]létszám ei mód RM III.'!F38</f>
        <v>161.25</v>
      </c>
      <c r="C38" s="1002">
        <f>'[5]létszám ei mód RM III.'!G38</f>
        <v>161</v>
      </c>
      <c r="D38" s="1003">
        <f>'[5]létszám ei mód RM III.'!L38</f>
        <v>21.5</v>
      </c>
      <c r="E38" s="1002">
        <f>'[5]létszám ei mód RM III.'!M38</f>
        <v>22</v>
      </c>
      <c r="F38" s="1004">
        <f>B38+D38</f>
        <v>182.75</v>
      </c>
      <c r="G38" s="1005">
        <f>C38+E38</f>
        <v>183</v>
      </c>
      <c r="I38" s="987"/>
    </row>
    <row r="39" spans="1:9" s="1006" customFormat="1" ht="44.25" customHeight="1" x14ac:dyDescent="0.55000000000000004">
      <c r="A39" s="1018" t="s">
        <v>1170</v>
      </c>
      <c r="B39" s="1024"/>
      <c r="C39" s="1024"/>
      <c r="D39" s="1024"/>
      <c r="E39" s="1024"/>
      <c r="F39" s="1023"/>
      <c r="G39" s="1023"/>
      <c r="I39" s="987"/>
    </row>
    <row r="40" spans="1:9" s="1006" customFormat="1" ht="45.75" customHeight="1" thickBot="1" x14ac:dyDescent="0.6">
      <c r="A40" s="1025" t="s">
        <v>1171</v>
      </c>
      <c r="B40" s="1001">
        <f>'[5]létszám ei mód RM III.'!F40</f>
        <v>45</v>
      </c>
      <c r="C40" s="1002">
        <f>'[5]létszám ei mód RM III.'!G40</f>
        <v>45</v>
      </c>
      <c r="D40" s="1003">
        <f>'[5]létszám ei mód RM III.'!L40</f>
        <v>30</v>
      </c>
      <c r="E40" s="1002">
        <f>'[5]létszám ei mód RM III.'!M40</f>
        <v>30</v>
      </c>
      <c r="F40" s="1004">
        <f>B40+D40</f>
        <v>75</v>
      </c>
      <c r="G40" s="1005">
        <f>C40+E40</f>
        <v>75</v>
      </c>
      <c r="I40" s="987"/>
    </row>
    <row r="41" spans="1:9" s="1006" customFormat="1" ht="45" customHeight="1" x14ac:dyDescent="0.55000000000000004">
      <c r="A41" s="1018" t="s">
        <v>1172</v>
      </c>
      <c r="B41" s="1024"/>
      <c r="C41" s="1024"/>
      <c r="D41" s="1024"/>
      <c r="E41" s="1024"/>
      <c r="F41" s="1023"/>
      <c r="G41" s="1023"/>
      <c r="I41" s="987"/>
    </row>
    <row r="42" spans="1:9" s="1006" customFormat="1" ht="44.25" customHeight="1" thickBot="1" x14ac:dyDescent="0.6">
      <c r="A42" s="1025" t="s">
        <v>549</v>
      </c>
      <c r="B42" s="1001">
        <f>'[5]létszám ei mód RM III.'!F42</f>
        <v>155.01</v>
      </c>
      <c r="C42" s="1002">
        <f>'[5]létszám ei mód RM III.'!G42</f>
        <v>155</v>
      </c>
      <c r="D42" s="1003">
        <f>'[5]létszám ei mód RM III.'!L42</f>
        <v>45.74499999999999</v>
      </c>
      <c r="E42" s="1002">
        <f>'[5]létszám ei mód RM III.'!M42</f>
        <v>46</v>
      </c>
      <c r="F42" s="1004">
        <f>B42+D42</f>
        <v>200.755</v>
      </c>
      <c r="G42" s="1005">
        <f>C42+E42</f>
        <v>201</v>
      </c>
      <c r="I42" s="987"/>
    </row>
    <row r="43" spans="1:9" s="1006" customFormat="1" ht="45.75" customHeight="1" x14ac:dyDescent="0.55000000000000004">
      <c r="A43" s="1018" t="s">
        <v>1174</v>
      </c>
      <c r="B43" s="1024"/>
      <c r="C43" s="1024"/>
      <c r="D43" s="1024"/>
      <c r="E43" s="1024"/>
      <c r="F43" s="1023"/>
      <c r="G43" s="1023"/>
      <c r="I43" s="987"/>
    </row>
    <row r="44" spans="1:9" s="1006" customFormat="1" ht="44.25" customHeight="1" x14ac:dyDescent="0.55000000000000004">
      <c r="A44" s="1025" t="s">
        <v>1175</v>
      </c>
      <c r="B44" s="1001">
        <f>'[5]létszám ei mód RM III.'!F44</f>
        <v>1</v>
      </c>
      <c r="C44" s="1002">
        <f>'[5]létszám ei mód RM III.'!G44</f>
        <v>1</v>
      </c>
      <c r="D44" s="1026">
        <f>'[5]létszám ei mód RM III.'!L44</f>
        <v>13.5</v>
      </c>
      <c r="E44" s="1027">
        <f>'[5]létszám ei mód RM III.'!M44</f>
        <v>13</v>
      </c>
      <c r="F44" s="1028">
        <f t="shared" ref="F44:G45" si="5">B44+D44</f>
        <v>14.5</v>
      </c>
      <c r="G44" s="1029">
        <f t="shared" si="5"/>
        <v>14</v>
      </c>
      <c r="I44" s="987"/>
    </row>
    <row r="45" spans="1:9" s="1006" customFormat="1" ht="45" customHeight="1" thickBot="1" x14ac:dyDescent="0.6">
      <c r="A45" s="1030" t="s">
        <v>40</v>
      </c>
      <c r="B45" s="1031">
        <f>'[5]létszám ei mód RM III.'!F45</f>
        <v>284.5</v>
      </c>
      <c r="C45" s="1032">
        <f>'[5]létszám ei mód RM III.'!G45</f>
        <v>285</v>
      </c>
      <c r="D45" s="1033">
        <f>'[5]létszám ei mód RM III.'!L45</f>
        <v>0</v>
      </c>
      <c r="E45" s="1032">
        <f>'[5]létszám ei mód RM III.'!M45</f>
        <v>0</v>
      </c>
      <c r="F45" s="1034">
        <f t="shared" si="5"/>
        <v>284.5</v>
      </c>
      <c r="G45" s="1035">
        <f t="shared" si="5"/>
        <v>285</v>
      </c>
      <c r="I45" s="987"/>
    </row>
    <row r="46" spans="1:9" s="1006" customFormat="1" ht="44.25" customHeight="1" thickBot="1" x14ac:dyDescent="0.6">
      <c r="A46" s="1013" t="s">
        <v>1198</v>
      </c>
      <c r="B46" s="1036">
        <f t="shared" ref="B46:G46" si="6">SUM(B44:B45)</f>
        <v>285.5</v>
      </c>
      <c r="C46" s="1037">
        <f t="shared" si="6"/>
        <v>286</v>
      </c>
      <c r="D46" s="1036">
        <f t="shared" si="6"/>
        <v>13.5</v>
      </c>
      <c r="E46" s="1037">
        <f t="shared" si="6"/>
        <v>13</v>
      </c>
      <c r="F46" s="1036">
        <f t="shared" si="6"/>
        <v>299</v>
      </c>
      <c r="G46" s="1037">
        <f t="shared" si="6"/>
        <v>299</v>
      </c>
      <c r="I46" s="987"/>
    </row>
    <row r="47" spans="1:9" s="1006" customFormat="1" ht="44.25" customHeight="1" thickBot="1" x14ac:dyDescent="0.6">
      <c r="A47" s="1038" t="s">
        <v>1177</v>
      </c>
      <c r="B47" s="1036">
        <f t="shared" ref="B47:G47" si="7">B36+B38+B40+B42+B46</f>
        <v>843.26</v>
      </c>
      <c r="C47" s="1037">
        <f t="shared" si="7"/>
        <v>844</v>
      </c>
      <c r="D47" s="1036">
        <f t="shared" si="7"/>
        <v>165.245</v>
      </c>
      <c r="E47" s="1037">
        <f t="shared" si="7"/>
        <v>165</v>
      </c>
      <c r="F47" s="1036">
        <f t="shared" si="7"/>
        <v>1008.505</v>
      </c>
      <c r="G47" s="1037">
        <f t="shared" si="7"/>
        <v>1009</v>
      </c>
      <c r="I47" s="987"/>
    </row>
    <row r="48" spans="1:9" s="1006" customFormat="1" ht="44.25" customHeight="1" thickBot="1" x14ac:dyDescent="0.6">
      <c r="A48" s="1039" t="s">
        <v>1178</v>
      </c>
      <c r="B48" s="1036">
        <f t="shared" ref="B48:G48" si="8">B29+B47</f>
        <v>1242.26</v>
      </c>
      <c r="C48" s="1037">
        <f t="shared" si="8"/>
        <v>1243</v>
      </c>
      <c r="D48" s="1036">
        <f t="shared" si="8"/>
        <v>228.245</v>
      </c>
      <c r="E48" s="1037">
        <f t="shared" si="8"/>
        <v>228</v>
      </c>
      <c r="F48" s="1036">
        <f t="shared" si="8"/>
        <v>1470.5050000000001</v>
      </c>
      <c r="G48" s="1037">
        <f t="shared" si="8"/>
        <v>1471</v>
      </c>
      <c r="I48" s="987"/>
    </row>
    <row r="49" spans="1:22" s="1043" customFormat="1" x14ac:dyDescent="0.5">
      <c r="A49" s="1040"/>
      <c r="B49" s="1041"/>
      <c r="C49" s="1042"/>
      <c r="I49" s="1044"/>
    </row>
    <row r="50" spans="1:22" s="1006" customFormat="1" x14ac:dyDescent="0.5">
      <c r="A50" s="1045"/>
      <c r="F50" s="1041"/>
      <c r="G50" s="1041"/>
      <c r="I50" s="1046"/>
    </row>
    <row r="51" spans="1:22" s="1006" customFormat="1" x14ac:dyDescent="0.5">
      <c r="A51" s="1045"/>
      <c r="I51" s="1046"/>
    </row>
    <row r="52" spans="1:22" s="1043" customFormat="1" ht="35.25" x14ac:dyDescent="0.5">
      <c r="A52" s="1047"/>
      <c r="B52" s="1048"/>
      <c r="C52" s="1049"/>
      <c r="G52" s="1050"/>
      <c r="I52" s="1044"/>
    </row>
    <row r="53" spans="1:22" x14ac:dyDescent="0.5">
      <c r="B53" s="1051"/>
      <c r="C53" s="1052"/>
    </row>
    <row r="55" spans="1:22" s="1006" customFormat="1" ht="35.25" x14ac:dyDescent="0.5">
      <c r="A55" s="1053"/>
      <c r="B55" s="1048"/>
      <c r="C55" s="1049"/>
      <c r="D55" s="1049"/>
      <c r="E55" s="1054"/>
      <c r="F55" s="1054"/>
      <c r="G55" s="1054"/>
      <c r="H55" s="1054"/>
      <c r="I55" s="1055"/>
      <c r="V55" s="1046"/>
    </row>
    <row r="56" spans="1:22" s="1006" customFormat="1" ht="35.25" x14ac:dyDescent="0.5">
      <c r="A56" s="1047"/>
      <c r="B56" s="1048"/>
      <c r="C56" s="1048"/>
      <c r="D56" s="1049"/>
      <c r="E56" s="1054"/>
      <c r="F56" s="1054"/>
      <c r="G56" s="1054"/>
      <c r="H56" s="1054"/>
      <c r="I56" s="1055"/>
      <c r="V56" s="1046"/>
    </row>
    <row r="57" spans="1:22" s="1006" customFormat="1" ht="35.25" x14ac:dyDescent="0.5">
      <c r="A57" s="1047"/>
      <c r="B57" s="1048"/>
      <c r="C57" s="1048"/>
      <c r="D57" s="1049"/>
      <c r="E57" s="1054"/>
      <c r="F57" s="1054"/>
      <c r="G57" s="1054"/>
      <c r="H57" s="1054"/>
      <c r="I57" s="1054"/>
      <c r="V57" s="1046"/>
    </row>
    <row r="58" spans="1:22" s="1006" customFormat="1" ht="35.25" x14ac:dyDescent="0.5">
      <c r="A58" s="1049"/>
      <c r="B58" s="1048"/>
      <c r="C58" s="1049"/>
      <c r="D58" s="1049"/>
      <c r="E58" s="1054"/>
      <c r="F58" s="1054"/>
      <c r="G58" s="1054"/>
      <c r="H58" s="1054"/>
      <c r="I58" s="1055"/>
      <c r="V58" s="1046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verticalDpi="300" r:id="rId1"/>
  <headerFooter alignWithMargins="0">
    <oddHeader xml:space="preserve">&amp;R&amp;"-,Félkövér"&amp;20 &amp;26 &amp;28 &amp;36 7. melléklet  a .../2025. (........) önkormányzati rendelethez  </oddHeader>
  </headerFooter>
  <rowBreaks count="1" manualBreakCount="1"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8"/>
  <dimension ref="A1:G45"/>
  <sheetViews>
    <sheetView topLeftCell="A7" zoomScaleNormal="100" zoomScaleSheetLayoutView="100" workbookViewId="0">
      <selection activeCell="I30" sqref="I30"/>
    </sheetView>
  </sheetViews>
  <sheetFormatPr defaultColWidth="9.33203125" defaultRowHeight="15" customHeight="1" x14ac:dyDescent="0.2"/>
  <cols>
    <col min="1" max="1" width="92.1640625" style="1" customWidth="1"/>
    <col min="2" max="5" width="18.83203125" style="1" customWidth="1"/>
    <col min="6" max="6" width="19.83203125" style="1" customWidth="1"/>
    <col min="7" max="7" width="14.33203125" style="1" bestFit="1" customWidth="1"/>
    <col min="8" max="16384" width="9.33203125" style="1"/>
  </cols>
  <sheetData>
    <row r="1" spans="1:7" ht="15" customHeight="1" x14ac:dyDescent="0.25">
      <c r="A1" s="1961"/>
      <c r="B1" s="1961"/>
      <c r="C1" s="61"/>
      <c r="D1" s="61"/>
      <c r="E1" s="61"/>
    </row>
    <row r="2" spans="1:7" ht="24.75" customHeight="1" x14ac:dyDescent="0.3">
      <c r="A2" s="1890" t="s">
        <v>18</v>
      </c>
      <c r="B2" s="1890"/>
      <c r="C2" s="1890"/>
      <c r="D2" s="1890"/>
      <c r="E2" s="1890"/>
    </row>
    <row r="3" spans="1:7" ht="15" customHeight="1" x14ac:dyDescent="0.25">
      <c r="A3" s="60"/>
      <c r="B3" s="60"/>
      <c r="C3" s="61"/>
      <c r="D3" s="61"/>
      <c r="E3" s="61"/>
    </row>
    <row r="4" spans="1:7" ht="24.75" customHeight="1" thickBot="1" x14ac:dyDescent="0.3">
      <c r="A4" s="1435" t="s">
        <v>127</v>
      </c>
      <c r="B4" s="77"/>
      <c r="C4" s="77"/>
      <c r="D4" s="77"/>
      <c r="E4" s="78" t="s">
        <v>14</v>
      </c>
    </row>
    <row r="5" spans="1:7" ht="21" customHeight="1" x14ac:dyDescent="0.3">
      <c r="A5" s="1434" t="s">
        <v>28</v>
      </c>
      <c r="B5" s="1962" t="s">
        <v>496</v>
      </c>
      <c r="C5" s="1962"/>
      <c r="D5" s="113" t="s">
        <v>272</v>
      </c>
      <c r="E5" s="197" t="s">
        <v>83</v>
      </c>
    </row>
    <row r="6" spans="1:7" ht="21" customHeight="1" thickBot="1" x14ac:dyDescent="0.35">
      <c r="A6" s="82"/>
      <c r="B6" s="198" t="s">
        <v>169</v>
      </c>
      <c r="C6" s="198" t="s">
        <v>81</v>
      </c>
      <c r="D6" s="199" t="s">
        <v>82</v>
      </c>
      <c r="E6" s="115" t="s">
        <v>84</v>
      </c>
    </row>
    <row r="7" spans="1:7" ht="21" customHeight="1" x14ac:dyDescent="0.3">
      <c r="A7" s="382" t="s">
        <v>68</v>
      </c>
      <c r="B7" s="1249">
        <v>2982704</v>
      </c>
      <c r="C7" s="1249">
        <v>3095527</v>
      </c>
      <c r="D7" s="1250">
        <v>2935221</v>
      </c>
      <c r="E7" s="1251">
        <f>+D7/C7*100</f>
        <v>94.821366442612202</v>
      </c>
      <c r="F7" s="3"/>
      <c r="G7" s="3"/>
    </row>
    <row r="8" spans="1:7" ht="21" customHeight="1" x14ac:dyDescent="0.3">
      <c r="A8" s="382" t="s">
        <v>1319</v>
      </c>
      <c r="B8" s="1247">
        <v>2284405</v>
      </c>
      <c r="C8" s="1247">
        <v>2318044</v>
      </c>
      <c r="D8" s="1246">
        <v>2262119</v>
      </c>
      <c r="E8" s="1252">
        <f t="shared" ref="E8:E29" si="0">+D8/C8*100</f>
        <v>97.587405588504794</v>
      </c>
      <c r="F8" s="3"/>
      <c r="G8" s="3"/>
    </row>
    <row r="9" spans="1:7" ht="21" customHeight="1" x14ac:dyDescent="0.3">
      <c r="A9" s="81"/>
      <c r="B9" s="201"/>
      <c r="C9" s="201"/>
      <c r="D9" s="202"/>
      <c r="E9" s="324"/>
      <c r="F9" s="3"/>
      <c r="G9" s="3"/>
    </row>
    <row r="10" spans="1:7" ht="21" customHeight="1" thickBot="1" x14ac:dyDescent="0.35">
      <c r="A10" s="1399" t="s">
        <v>9</v>
      </c>
      <c r="B10" s="204">
        <f>SUM(B7:B9)</f>
        <v>5267109</v>
      </c>
      <c r="C10" s="204">
        <f>SUM(C7:C9)</f>
        <v>5413571</v>
      </c>
      <c r="D10" s="204">
        <f>SUM(D7:D9)</f>
        <v>5197340</v>
      </c>
      <c r="E10" s="205">
        <f t="shared" si="0"/>
        <v>96.005760338231454</v>
      </c>
      <c r="F10" s="3"/>
      <c r="G10" s="3"/>
    </row>
    <row r="11" spans="1:7" ht="21" customHeight="1" x14ac:dyDescent="0.3">
      <c r="A11" s="1436" t="s">
        <v>273</v>
      </c>
      <c r="B11" s="1250">
        <v>30000</v>
      </c>
      <c r="C11" s="1250">
        <v>1894</v>
      </c>
      <c r="D11" s="1250"/>
      <c r="E11" s="1253">
        <f t="shared" si="0"/>
        <v>0</v>
      </c>
      <c r="F11" s="3"/>
      <c r="G11" s="3"/>
    </row>
    <row r="12" spans="1:7" ht="21" customHeight="1" x14ac:dyDescent="0.3">
      <c r="A12" s="1437" t="s">
        <v>373</v>
      </c>
      <c r="B12" s="123">
        <v>7200</v>
      </c>
      <c r="C12" s="123">
        <v>14352</v>
      </c>
      <c r="D12" s="123">
        <v>7152</v>
      </c>
      <c r="E12" s="203">
        <f t="shared" si="0"/>
        <v>49.832775919732441</v>
      </c>
      <c r="F12" s="3"/>
      <c r="G12" s="3"/>
    </row>
    <row r="13" spans="1:7" ht="21" customHeight="1" x14ac:dyDescent="0.3">
      <c r="A13" s="1438" t="s">
        <v>374</v>
      </c>
      <c r="B13" s="123">
        <v>800</v>
      </c>
      <c r="C13" s="123">
        <v>0</v>
      </c>
      <c r="D13" s="123"/>
      <c r="E13" s="203"/>
      <c r="F13" s="3"/>
      <c r="G13" s="3"/>
    </row>
    <row r="14" spans="1:7" ht="21" customHeight="1" x14ac:dyDescent="0.3">
      <c r="A14" s="1439" t="s">
        <v>239</v>
      </c>
      <c r="B14" s="1254">
        <v>4000</v>
      </c>
      <c r="C14" s="1254">
        <v>4000</v>
      </c>
      <c r="D14" s="1254"/>
      <c r="E14" s="1253">
        <f t="shared" si="0"/>
        <v>0</v>
      </c>
      <c r="F14" s="3"/>
      <c r="G14" s="3"/>
    </row>
    <row r="15" spans="1:7" ht="21" customHeight="1" x14ac:dyDescent="0.3">
      <c r="A15" s="1440" t="s">
        <v>109</v>
      </c>
      <c r="B15" s="125">
        <v>500</v>
      </c>
      <c r="C15" s="125">
        <v>500</v>
      </c>
      <c r="D15" s="109"/>
      <c r="E15" s="203">
        <f t="shared" si="0"/>
        <v>0</v>
      </c>
      <c r="F15" s="3"/>
      <c r="G15" s="3"/>
    </row>
    <row r="16" spans="1:7" ht="36.75" customHeight="1" x14ac:dyDescent="0.3">
      <c r="A16" s="1441" t="s">
        <v>462</v>
      </c>
      <c r="B16" s="206">
        <v>1800</v>
      </c>
      <c r="C16" s="206">
        <v>1800</v>
      </c>
      <c r="D16" s="123">
        <v>1322</v>
      </c>
      <c r="E16" s="203">
        <f t="shared" si="0"/>
        <v>73.444444444444443</v>
      </c>
      <c r="F16" s="3"/>
      <c r="G16" s="3"/>
    </row>
    <row r="17" spans="1:7" ht="21" customHeight="1" x14ac:dyDescent="0.3">
      <c r="A17" s="1439" t="s">
        <v>196</v>
      </c>
      <c r="B17" s="1254">
        <v>10000</v>
      </c>
      <c r="C17" s="1254">
        <v>0</v>
      </c>
      <c r="D17" s="1254"/>
      <c r="E17" s="1253"/>
      <c r="F17" s="3"/>
      <c r="G17" s="3"/>
    </row>
    <row r="18" spans="1:7" ht="21" customHeight="1" x14ac:dyDescent="0.3">
      <c r="A18" s="317" t="s">
        <v>421</v>
      </c>
      <c r="B18" s="318">
        <v>6000</v>
      </c>
      <c r="C18" s="318">
        <v>6569</v>
      </c>
      <c r="D18" s="307">
        <v>6569</v>
      </c>
      <c r="E18" s="319">
        <f t="shared" si="0"/>
        <v>100</v>
      </c>
      <c r="F18" s="3"/>
      <c r="G18" s="3"/>
    </row>
    <row r="19" spans="1:7" ht="21" customHeight="1" x14ac:dyDescent="0.3">
      <c r="A19" s="1440" t="s">
        <v>558</v>
      </c>
      <c r="B19" s="125">
        <v>4842</v>
      </c>
      <c r="C19" s="125">
        <v>4842</v>
      </c>
      <c r="D19" s="109">
        <v>4452</v>
      </c>
      <c r="E19" s="319">
        <f t="shared" si="0"/>
        <v>91.945477075588599</v>
      </c>
      <c r="F19" s="3"/>
      <c r="G19" s="3"/>
    </row>
    <row r="20" spans="1:7" ht="21" customHeight="1" x14ac:dyDescent="0.3">
      <c r="A20" s="1440" t="s">
        <v>78</v>
      </c>
      <c r="B20" s="125">
        <v>1250</v>
      </c>
      <c r="C20" s="125">
        <v>1250</v>
      </c>
      <c r="D20" s="109">
        <v>187</v>
      </c>
      <c r="E20" s="319">
        <f t="shared" si="0"/>
        <v>14.96</v>
      </c>
      <c r="F20" s="3"/>
      <c r="G20" s="3"/>
    </row>
    <row r="21" spans="1:7" ht="21" customHeight="1" x14ac:dyDescent="0.3">
      <c r="A21" s="1440" t="s">
        <v>86</v>
      </c>
      <c r="B21" s="125">
        <v>3000</v>
      </c>
      <c r="C21" s="125">
        <v>3000</v>
      </c>
      <c r="D21" s="109">
        <v>2780</v>
      </c>
      <c r="E21" s="319">
        <f t="shared" si="0"/>
        <v>92.666666666666657</v>
      </c>
      <c r="F21" s="3"/>
      <c r="G21" s="3"/>
    </row>
    <row r="22" spans="1:7" ht="21" customHeight="1" x14ac:dyDescent="0.3">
      <c r="A22" s="1440" t="s">
        <v>1</v>
      </c>
      <c r="B22" s="125">
        <v>300</v>
      </c>
      <c r="C22" s="125">
        <v>300</v>
      </c>
      <c r="D22" s="125">
        <v>250</v>
      </c>
      <c r="E22" s="319">
        <f t="shared" si="0"/>
        <v>83.333333333333343</v>
      </c>
      <c r="F22" s="3"/>
      <c r="G22" s="3"/>
    </row>
    <row r="23" spans="1:7" ht="21" customHeight="1" x14ac:dyDescent="0.3">
      <c r="A23" s="320" t="s">
        <v>12</v>
      </c>
      <c r="B23" s="125">
        <v>1500</v>
      </c>
      <c r="C23" s="125">
        <v>1400</v>
      </c>
      <c r="D23" s="109">
        <v>1027</v>
      </c>
      <c r="E23" s="319">
        <f t="shared" si="0"/>
        <v>73.357142857142861</v>
      </c>
      <c r="F23" s="3"/>
      <c r="G23" s="3"/>
    </row>
    <row r="24" spans="1:7" ht="36.75" customHeight="1" x14ac:dyDescent="0.3">
      <c r="A24" s="1442" t="s">
        <v>463</v>
      </c>
      <c r="B24" s="125">
        <v>5000</v>
      </c>
      <c r="C24" s="125">
        <v>0</v>
      </c>
      <c r="D24" s="125"/>
      <c r="E24" s="319"/>
      <c r="F24" s="3"/>
      <c r="G24" s="3"/>
    </row>
    <row r="25" spans="1:7" ht="34.5" customHeight="1" x14ac:dyDescent="0.3">
      <c r="A25" s="1442" t="s">
        <v>263</v>
      </c>
      <c r="B25" s="125">
        <v>1700</v>
      </c>
      <c r="C25" s="125">
        <v>1750</v>
      </c>
      <c r="D25" s="421">
        <v>1124</v>
      </c>
      <c r="E25" s="319">
        <f t="shared" si="0"/>
        <v>64.228571428571428</v>
      </c>
      <c r="F25" s="3"/>
      <c r="G25" s="3"/>
    </row>
    <row r="26" spans="1:7" ht="18.75" x14ac:dyDescent="0.3">
      <c r="A26" s="1442" t="s">
        <v>556</v>
      </c>
      <c r="B26" s="125"/>
      <c r="C26" s="125">
        <v>0</v>
      </c>
      <c r="D26" s="125"/>
      <c r="E26" s="319"/>
      <c r="F26" s="3"/>
      <c r="G26" s="3"/>
    </row>
    <row r="27" spans="1:7" ht="21" customHeight="1" x14ac:dyDescent="0.3">
      <c r="A27" s="1443" t="s">
        <v>375</v>
      </c>
      <c r="B27" s="207">
        <v>6900</v>
      </c>
      <c r="C27" s="207">
        <v>3663</v>
      </c>
      <c r="D27" s="207">
        <v>400</v>
      </c>
      <c r="E27" s="110">
        <f t="shared" si="0"/>
        <v>10.92001092001092</v>
      </c>
      <c r="F27" s="3"/>
      <c r="G27" s="3"/>
    </row>
    <row r="28" spans="1:7" ht="21" customHeight="1" thickBot="1" x14ac:dyDescent="0.35">
      <c r="A28" s="1444" t="s">
        <v>240</v>
      </c>
      <c r="B28" s="204">
        <f>SUM(B11:B27)</f>
        <v>84792</v>
      </c>
      <c r="C28" s="204">
        <f>SUM(C11:C27)</f>
        <v>45320</v>
      </c>
      <c r="D28" s="204">
        <f>SUM(D11:D27)</f>
        <v>25263</v>
      </c>
      <c r="E28" s="208">
        <f t="shared" si="0"/>
        <v>55.743601059135038</v>
      </c>
      <c r="F28" s="3"/>
      <c r="G28" s="3"/>
    </row>
    <row r="29" spans="1:7" s="4" customFormat="1" ht="21" customHeight="1" thickBot="1" x14ac:dyDescent="0.35">
      <c r="A29" s="1390" t="s">
        <v>278</v>
      </c>
      <c r="B29" s="120">
        <f>B10+B28</f>
        <v>5351901</v>
      </c>
      <c r="C29" s="120">
        <f>C10+C28</f>
        <v>5458891</v>
      </c>
      <c r="D29" s="120">
        <f>D10+D28</f>
        <v>5222603</v>
      </c>
      <c r="E29" s="209">
        <f t="shared" si="0"/>
        <v>95.671501775726981</v>
      </c>
      <c r="F29" s="3"/>
      <c r="G29" s="3"/>
    </row>
    <row r="30" spans="1:7" ht="21" customHeight="1" x14ac:dyDescent="0.25">
      <c r="A30" s="422"/>
      <c r="B30" s="76"/>
      <c r="C30" s="61"/>
      <c r="D30" s="61"/>
      <c r="E30" s="61"/>
      <c r="F30" s="3"/>
      <c r="G30" s="3"/>
    </row>
    <row r="31" spans="1:7" ht="21" customHeight="1" x14ac:dyDescent="0.25">
      <c r="A31" s="422"/>
      <c r="B31" s="76"/>
      <c r="C31" s="76"/>
      <c r="D31" s="76"/>
      <c r="E31" s="61"/>
      <c r="F31" s="3"/>
      <c r="G31" s="3"/>
    </row>
    <row r="32" spans="1:7" ht="21" customHeight="1" thickBot="1" x14ac:dyDescent="0.3">
      <c r="A32" s="1339" t="s">
        <v>15</v>
      </c>
      <c r="B32" s="64"/>
      <c r="C32" s="64"/>
      <c r="D32" s="61"/>
      <c r="E32" s="64"/>
      <c r="F32" s="3"/>
      <c r="G32" s="3"/>
    </row>
    <row r="33" spans="1:7" ht="21" customHeight="1" x14ac:dyDescent="0.3">
      <c r="A33" s="1434" t="s">
        <v>28</v>
      </c>
      <c r="B33" s="1962" t="s">
        <v>496</v>
      </c>
      <c r="C33" s="1962"/>
      <c r="D33" s="113" t="s">
        <v>272</v>
      </c>
      <c r="E33" s="210" t="s">
        <v>83</v>
      </c>
      <c r="F33" s="3"/>
      <c r="G33" s="3"/>
    </row>
    <row r="34" spans="1:7" ht="21" customHeight="1" thickBot="1" x14ac:dyDescent="0.35">
      <c r="A34" s="1303"/>
      <c r="B34" s="198" t="s">
        <v>169</v>
      </c>
      <c r="C34" s="198" t="s">
        <v>81</v>
      </c>
      <c r="D34" s="199" t="s">
        <v>82</v>
      </c>
      <c r="E34" s="211" t="s">
        <v>84</v>
      </c>
      <c r="F34" s="3"/>
      <c r="G34" s="3"/>
    </row>
    <row r="35" spans="1:7" ht="21" customHeight="1" x14ac:dyDescent="0.3">
      <c r="A35" s="1445" t="s">
        <v>68</v>
      </c>
      <c r="B35" s="1250"/>
      <c r="C35" s="1255">
        <v>45706</v>
      </c>
      <c r="D35" s="1256">
        <v>35413</v>
      </c>
      <c r="E35" s="1257">
        <f t="shared" ref="E35:E37" si="1">+D35/C35*100</f>
        <v>77.479980746510307</v>
      </c>
      <c r="F35" s="3"/>
      <c r="G35" s="3"/>
    </row>
    <row r="36" spans="1:7" ht="21" customHeight="1" x14ac:dyDescent="0.3">
      <c r="A36" s="1446" t="s">
        <v>115</v>
      </c>
      <c r="B36" s="1258"/>
      <c r="C36" s="1259">
        <v>94868</v>
      </c>
      <c r="D36" s="1259">
        <v>46188</v>
      </c>
      <c r="E36" s="1260">
        <f t="shared" si="1"/>
        <v>48.686596112493149</v>
      </c>
      <c r="F36" s="3"/>
      <c r="G36" s="3"/>
    </row>
    <row r="37" spans="1:7" ht="21" customHeight="1" thickBot="1" x14ac:dyDescent="0.35">
      <c r="A37" s="1399" t="s">
        <v>279</v>
      </c>
      <c r="B37" s="111">
        <f>SUM(B35:B36)</f>
        <v>0</v>
      </c>
      <c r="C37" s="111">
        <f>SUM(C35:C36)</f>
        <v>140574</v>
      </c>
      <c r="D37" s="111">
        <f>SUM(D35:D36)</f>
        <v>81601</v>
      </c>
      <c r="E37" s="112">
        <f t="shared" si="1"/>
        <v>58.048430008394156</v>
      </c>
      <c r="F37" s="3"/>
      <c r="G37" s="3"/>
    </row>
    <row r="38" spans="1:7" ht="21" customHeight="1" thickBot="1" x14ac:dyDescent="0.35">
      <c r="A38" s="1356"/>
      <c r="B38" s="175"/>
      <c r="C38" s="175"/>
      <c r="D38" s="212"/>
      <c r="E38" s="213"/>
      <c r="F38" s="3"/>
      <c r="G38" s="3"/>
    </row>
    <row r="39" spans="1:7" ht="21" customHeight="1" thickBot="1" x14ac:dyDescent="0.35">
      <c r="A39" s="1382" t="s">
        <v>280</v>
      </c>
      <c r="B39" s="214">
        <f>+B29+B37</f>
        <v>5351901</v>
      </c>
      <c r="C39" s="214">
        <f>+C29+C37</f>
        <v>5599465</v>
      </c>
      <c r="D39" s="214">
        <f>+D37+D29</f>
        <v>5304204</v>
      </c>
      <c r="E39" s="215">
        <f>+D39/C39*100</f>
        <v>94.726978380970323</v>
      </c>
      <c r="F39" s="3"/>
      <c r="G39" s="3"/>
    </row>
    <row r="40" spans="1:7" ht="21" customHeight="1" x14ac:dyDescent="0.25">
      <c r="A40" s="61"/>
      <c r="B40" s="61"/>
      <c r="C40" s="61"/>
      <c r="D40" s="61"/>
      <c r="E40" s="61"/>
      <c r="F40" s="3"/>
    </row>
    <row r="41" spans="1:7" ht="15" customHeight="1" x14ac:dyDescent="0.2">
      <c r="D41" s="3"/>
      <c r="F41" s="3"/>
    </row>
    <row r="42" spans="1:7" ht="15" customHeight="1" x14ac:dyDescent="0.2">
      <c r="C42" s="7"/>
      <c r="D42" s="3"/>
      <c r="F42" s="3"/>
    </row>
    <row r="43" spans="1:7" ht="15" customHeight="1" x14ac:dyDescent="0.2">
      <c r="D43" s="3"/>
    </row>
    <row r="45" spans="1:7" ht="15" customHeight="1" x14ac:dyDescent="0.2">
      <c r="D45" s="3"/>
    </row>
  </sheetData>
  <mergeCells count="4">
    <mergeCell ref="A1:B1"/>
    <mergeCell ref="B5:C5"/>
    <mergeCell ref="B33:C33"/>
    <mergeCell ref="A2:E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70" orientation="portrait" r:id="rId1"/>
  <headerFooter alignWithMargins="0">
    <oddHeader>&amp;C&amp;"Times New Roman CE,Félkövér"&amp;14
&amp;R&amp;"Calibri,Félkövér"&amp;11 8. melléklet a .../2025. (........) önkormányzati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H86"/>
  <sheetViews>
    <sheetView topLeftCell="A46" zoomScaleNormal="100" zoomScaleSheetLayoutView="75" workbookViewId="0">
      <selection activeCell="A32" sqref="A32"/>
    </sheetView>
  </sheetViews>
  <sheetFormatPr defaultColWidth="9.33203125" defaultRowHeight="15" customHeight="1" x14ac:dyDescent="0.2"/>
  <cols>
    <col min="1" max="1" width="118.5" style="1" customWidth="1"/>
    <col min="2" max="3" width="22.6640625" style="1" customWidth="1"/>
    <col min="4" max="4" width="23.6640625" style="1" customWidth="1"/>
    <col min="5" max="5" width="21.33203125" style="1" customWidth="1"/>
    <col min="6" max="6" width="59" style="3" customWidth="1"/>
    <col min="7" max="8" width="59" style="52" customWidth="1"/>
    <col min="9" max="16384" width="9.33203125" style="1"/>
  </cols>
  <sheetData>
    <row r="1" spans="1:8" ht="15" customHeight="1" x14ac:dyDescent="0.25">
      <c r="A1" s="60"/>
      <c r="B1" s="61"/>
      <c r="C1" s="61"/>
      <c r="D1" s="61"/>
      <c r="E1" s="61"/>
    </row>
    <row r="2" spans="1:8" ht="24" customHeight="1" x14ac:dyDescent="0.3">
      <c r="A2" s="1965" t="s">
        <v>248</v>
      </c>
      <c r="B2" s="1965"/>
      <c r="C2" s="1965"/>
      <c r="D2" s="1965"/>
      <c r="E2" s="1965"/>
    </row>
    <row r="3" spans="1:8" ht="15" customHeight="1" x14ac:dyDescent="0.25">
      <c r="A3" s="60"/>
      <c r="B3" s="60"/>
      <c r="C3" s="61"/>
      <c r="D3" s="61"/>
      <c r="E3" s="61"/>
    </row>
    <row r="4" spans="1:8" ht="24.75" customHeight="1" thickBot="1" x14ac:dyDescent="0.3">
      <c r="A4" s="1435" t="s">
        <v>127</v>
      </c>
      <c r="B4" s="64"/>
      <c r="C4" s="61"/>
      <c r="D4" s="61"/>
      <c r="E4" s="64" t="s">
        <v>14</v>
      </c>
    </row>
    <row r="5" spans="1:8" ht="24.75" customHeight="1" x14ac:dyDescent="0.3">
      <c r="A5" s="1434" t="s">
        <v>28</v>
      </c>
      <c r="B5" s="1963" t="s">
        <v>496</v>
      </c>
      <c r="C5" s="1964"/>
      <c r="D5" s="113" t="s">
        <v>272</v>
      </c>
      <c r="E5" s="197" t="s">
        <v>83</v>
      </c>
    </row>
    <row r="6" spans="1:8" ht="24.75" customHeight="1" thickBot="1" x14ac:dyDescent="0.35">
      <c r="A6" s="91"/>
      <c r="B6" s="398" t="s">
        <v>169</v>
      </c>
      <c r="C6" s="198" t="s">
        <v>81</v>
      </c>
      <c r="D6" s="199" t="s">
        <v>82</v>
      </c>
      <c r="E6" s="200" t="s">
        <v>84</v>
      </c>
    </row>
    <row r="7" spans="1:8" ht="19.5" thickBot="1" x14ac:dyDescent="0.35">
      <c r="A7" s="1447" t="s">
        <v>1308</v>
      </c>
      <c r="B7" s="383"/>
      <c r="C7" s="357"/>
      <c r="D7" s="357"/>
      <c r="E7" s="327"/>
    </row>
    <row r="8" spans="1:8" ht="24.95" customHeight="1" thickBot="1" x14ac:dyDescent="0.35">
      <c r="A8" s="381" t="s">
        <v>201</v>
      </c>
      <c r="B8" s="229">
        <v>162201</v>
      </c>
      <c r="C8" s="120">
        <v>270763</v>
      </c>
      <c r="D8" s="120">
        <v>216483</v>
      </c>
      <c r="E8" s="215">
        <f>+D8/C8*100</f>
        <v>79.952947780900644</v>
      </c>
    </row>
    <row r="9" spans="1:8" ht="24.95" customHeight="1" thickBot="1" x14ac:dyDescent="0.35">
      <c r="A9" s="381" t="s">
        <v>423</v>
      </c>
      <c r="B9" s="229">
        <v>557315</v>
      </c>
      <c r="C9" s="120">
        <v>1046813</v>
      </c>
      <c r="D9" s="120">
        <v>798578</v>
      </c>
      <c r="E9" s="215">
        <f t="shared" ref="E9:E59" si="0">+D9/C9*100</f>
        <v>76.286595600169278</v>
      </c>
    </row>
    <row r="10" spans="1:8" ht="24.95" customHeight="1" thickBot="1" x14ac:dyDescent="0.35">
      <c r="A10" s="1280" t="s">
        <v>424</v>
      </c>
      <c r="B10" s="1281">
        <v>315884</v>
      </c>
      <c r="C10" s="1282">
        <v>569474</v>
      </c>
      <c r="D10" s="1282">
        <v>540849</v>
      </c>
      <c r="E10" s="1283">
        <f t="shared" si="0"/>
        <v>94.973431622866016</v>
      </c>
    </row>
    <row r="11" spans="1:8" ht="24.95" customHeight="1" thickBot="1" x14ac:dyDescent="0.35">
      <c r="A11" s="1280" t="s">
        <v>2</v>
      </c>
      <c r="B11" s="1281">
        <v>771303</v>
      </c>
      <c r="C11" s="1282">
        <v>1014611</v>
      </c>
      <c r="D11" s="1282">
        <v>842210</v>
      </c>
      <c r="E11" s="1283">
        <f t="shared" si="0"/>
        <v>83.00816766228634</v>
      </c>
    </row>
    <row r="12" spans="1:8" ht="24.95" customHeight="1" thickBot="1" x14ac:dyDescent="0.35">
      <c r="A12" s="1448" t="s">
        <v>1309</v>
      </c>
      <c r="B12" s="229">
        <f>+B8+B9+B10+B11</f>
        <v>1806703</v>
      </c>
      <c r="C12" s="120">
        <f>+C8+C9+C10+C11</f>
        <v>2901661</v>
      </c>
      <c r="D12" s="120">
        <f>+D8+D9+D10+D11</f>
        <v>2398120</v>
      </c>
      <c r="E12" s="215">
        <f t="shared" si="0"/>
        <v>82.646456632942304</v>
      </c>
    </row>
    <row r="13" spans="1:8" ht="24.95" customHeight="1" x14ac:dyDescent="0.3">
      <c r="A13" s="1447" t="s">
        <v>1310</v>
      </c>
      <c r="B13" s="396"/>
      <c r="C13" s="126"/>
      <c r="D13" s="126"/>
      <c r="E13" s="372"/>
    </row>
    <row r="14" spans="1:8" ht="27" customHeight="1" x14ac:dyDescent="0.3">
      <c r="A14" s="1449" t="s">
        <v>1320</v>
      </c>
      <c r="B14" s="206">
        <v>252324</v>
      </c>
      <c r="C14" s="123">
        <v>324146</v>
      </c>
      <c r="D14" s="123">
        <v>324146</v>
      </c>
      <c r="E14" s="124">
        <f t="shared" si="0"/>
        <v>100</v>
      </c>
    </row>
    <row r="15" spans="1:8" ht="38.25" customHeight="1" thickBot="1" x14ac:dyDescent="0.35">
      <c r="A15" s="1443" t="s">
        <v>329</v>
      </c>
      <c r="B15" s="385">
        <v>302075</v>
      </c>
      <c r="C15" s="127">
        <v>302075</v>
      </c>
      <c r="D15" s="127">
        <v>302075</v>
      </c>
      <c r="E15" s="117">
        <f t="shared" si="0"/>
        <v>100</v>
      </c>
    </row>
    <row r="16" spans="1:8" s="11" customFormat="1" ht="24.95" customHeight="1" thickBot="1" x14ac:dyDescent="0.35">
      <c r="A16" s="1382" t="s">
        <v>66</v>
      </c>
      <c r="B16" s="230">
        <f>SUM(B14:B15)</f>
        <v>554399</v>
      </c>
      <c r="C16" s="129">
        <f>SUM(C14:C15)</f>
        <v>626221</v>
      </c>
      <c r="D16" s="129">
        <f>SUM(D14:D15)</f>
        <v>626221</v>
      </c>
      <c r="E16" s="215">
        <f t="shared" si="0"/>
        <v>100</v>
      </c>
      <c r="F16" s="3"/>
      <c r="G16" s="52"/>
      <c r="H16" s="52"/>
    </row>
    <row r="17" spans="1:8" s="415" customFormat="1" ht="24.95" customHeight="1" thickBot="1" x14ac:dyDescent="0.35">
      <c r="A17" s="1450" t="s">
        <v>530</v>
      </c>
      <c r="B17" s="385">
        <v>63651</v>
      </c>
      <c r="C17" s="234">
        <v>63651</v>
      </c>
      <c r="D17" s="413">
        <v>63651</v>
      </c>
      <c r="E17" s="414">
        <f>+D17/C17*100</f>
        <v>100</v>
      </c>
      <c r="F17" s="3"/>
      <c r="G17" s="52"/>
      <c r="H17" s="52"/>
    </row>
    <row r="18" spans="1:8" s="415" customFormat="1" ht="24.95" customHeight="1" thickBot="1" x14ac:dyDescent="0.35">
      <c r="A18" s="1450" t="s">
        <v>529</v>
      </c>
      <c r="B18" s="385">
        <v>479035</v>
      </c>
      <c r="C18" s="234">
        <v>564255</v>
      </c>
      <c r="D18" s="234">
        <v>564255</v>
      </c>
      <c r="E18" s="414">
        <f t="shared" si="0"/>
        <v>100</v>
      </c>
      <c r="F18" s="3"/>
      <c r="G18" s="52"/>
      <c r="H18" s="52"/>
    </row>
    <row r="19" spans="1:8" s="11" customFormat="1" ht="24.95" customHeight="1" thickBot="1" x14ac:dyDescent="0.35">
      <c r="A19" s="1448" t="s">
        <v>531</v>
      </c>
      <c r="B19" s="230">
        <f>+B16+B17+B18</f>
        <v>1097085</v>
      </c>
      <c r="C19" s="120">
        <f>+C16+C17+C18</f>
        <v>1254127</v>
      </c>
      <c r="D19" s="120">
        <f>+D16+D17+D18</f>
        <v>1254127</v>
      </c>
      <c r="E19" s="215">
        <f t="shared" si="0"/>
        <v>100</v>
      </c>
      <c r="F19" s="3"/>
      <c r="G19" s="52"/>
      <c r="H19" s="52"/>
    </row>
    <row r="20" spans="1:8" ht="39" customHeight="1" thickBot="1" x14ac:dyDescent="0.35">
      <c r="A20" s="1451" t="s">
        <v>532</v>
      </c>
      <c r="B20" s="229">
        <f>+B12+B19</f>
        <v>2903788</v>
      </c>
      <c r="C20" s="120">
        <f>+C12+C19</f>
        <v>4155788</v>
      </c>
      <c r="D20" s="120">
        <f>+D12+D19</f>
        <v>3652247</v>
      </c>
      <c r="E20" s="215">
        <f t="shared" si="0"/>
        <v>87.883380961685248</v>
      </c>
    </row>
    <row r="21" spans="1:8" ht="24.95" customHeight="1" x14ac:dyDescent="0.3">
      <c r="A21" s="1384" t="s">
        <v>1311</v>
      </c>
      <c r="B21" s="386"/>
      <c r="C21" s="222"/>
      <c r="D21" s="222"/>
      <c r="E21" s="224"/>
    </row>
    <row r="22" spans="1:8" ht="24.95" customHeight="1" x14ac:dyDescent="0.3">
      <c r="A22" s="1447" t="s">
        <v>1312</v>
      </c>
      <c r="B22" s="207"/>
      <c r="C22" s="107"/>
      <c r="D22" s="107"/>
      <c r="E22" s="335"/>
    </row>
    <row r="23" spans="1:8" ht="24.95" customHeight="1" x14ac:dyDescent="0.3">
      <c r="A23" s="1449" t="s">
        <v>204</v>
      </c>
      <c r="B23" s="387">
        <v>3000</v>
      </c>
      <c r="C23" s="359">
        <v>3000</v>
      </c>
      <c r="D23" s="426">
        <v>3000</v>
      </c>
      <c r="E23" s="360">
        <f t="shared" si="0"/>
        <v>100</v>
      </c>
    </row>
    <row r="24" spans="1:8" ht="24.95" customHeight="1" x14ac:dyDescent="0.3">
      <c r="A24" s="1452" t="s">
        <v>3</v>
      </c>
      <c r="B24" s="387">
        <v>1200</v>
      </c>
      <c r="C24" s="359">
        <v>1200</v>
      </c>
      <c r="D24" s="426">
        <v>1200</v>
      </c>
      <c r="E24" s="360">
        <f t="shared" si="0"/>
        <v>100</v>
      </c>
    </row>
    <row r="25" spans="1:8" ht="24.95" customHeight="1" x14ac:dyDescent="0.3">
      <c r="A25" s="1453" t="s">
        <v>464</v>
      </c>
      <c r="B25" s="388">
        <v>3000</v>
      </c>
      <c r="C25" s="361">
        <v>3000</v>
      </c>
      <c r="D25" s="373">
        <v>3000</v>
      </c>
      <c r="E25" s="360">
        <f t="shared" si="0"/>
        <v>100</v>
      </c>
    </row>
    <row r="26" spans="1:8" ht="24.95" customHeight="1" x14ac:dyDescent="0.3">
      <c r="A26" s="1452" t="s">
        <v>110</v>
      </c>
      <c r="B26" s="387">
        <v>4000</v>
      </c>
      <c r="C26" s="359">
        <v>5000</v>
      </c>
      <c r="D26" s="426">
        <v>4000</v>
      </c>
      <c r="E26" s="360">
        <f>+D26/C26*100</f>
        <v>80</v>
      </c>
    </row>
    <row r="27" spans="1:8" ht="24.95" customHeight="1" x14ac:dyDescent="0.3">
      <c r="A27" s="320" t="s">
        <v>111</v>
      </c>
      <c r="B27" s="388">
        <v>13000</v>
      </c>
      <c r="C27" s="361">
        <v>13000</v>
      </c>
      <c r="D27" s="373">
        <v>13000</v>
      </c>
      <c r="E27" s="360">
        <f t="shared" si="0"/>
        <v>100</v>
      </c>
    </row>
    <row r="28" spans="1:8" ht="24.95" customHeight="1" x14ac:dyDescent="0.3">
      <c r="A28" s="1452" t="s">
        <v>112</v>
      </c>
      <c r="B28" s="387">
        <v>1000</v>
      </c>
      <c r="C28" s="359">
        <v>1000</v>
      </c>
      <c r="D28" s="426">
        <v>1000</v>
      </c>
      <c r="E28" s="360">
        <f t="shared" si="0"/>
        <v>100</v>
      </c>
    </row>
    <row r="29" spans="1:8" ht="24.95" customHeight="1" x14ac:dyDescent="0.3">
      <c r="A29" s="1453" t="s">
        <v>465</v>
      </c>
      <c r="B29" s="388">
        <v>3000</v>
      </c>
      <c r="C29" s="361">
        <v>5000</v>
      </c>
      <c r="D29" s="373">
        <v>5000</v>
      </c>
      <c r="E29" s="360">
        <f t="shared" si="0"/>
        <v>100</v>
      </c>
    </row>
    <row r="30" spans="1:8" ht="24.95" customHeight="1" x14ac:dyDescent="0.3">
      <c r="A30" s="1453" t="s">
        <v>523</v>
      </c>
      <c r="B30" s="388">
        <v>2000</v>
      </c>
      <c r="C30" s="361">
        <v>2000</v>
      </c>
      <c r="D30" s="373">
        <v>2000</v>
      </c>
      <c r="E30" s="360">
        <f t="shared" si="0"/>
        <v>100</v>
      </c>
    </row>
    <row r="31" spans="1:8" ht="24.95" customHeight="1" x14ac:dyDescent="0.3">
      <c r="A31" s="320" t="s">
        <v>4</v>
      </c>
      <c r="B31" s="389">
        <v>650</v>
      </c>
      <c r="C31" s="118">
        <v>650</v>
      </c>
      <c r="D31" s="362">
        <v>650</v>
      </c>
      <c r="E31" s="360">
        <f t="shared" si="0"/>
        <v>100</v>
      </c>
    </row>
    <row r="32" spans="1:8" ht="24.95" customHeight="1" x14ac:dyDescent="0.3">
      <c r="A32" s="320" t="s">
        <v>13</v>
      </c>
      <c r="B32" s="390">
        <v>2000</v>
      </c>
      <c r="C32" s="128">
        <v>2000</v>
      </c>
      <c r="D32" s="427">
        <v>2000</v>
      </c>
      <c r="E32" s="360">
        <f t="shared" si="0"/>
        <v>100</v>
      </c>
    </row>
    <row r="33" spans="1:5" ht="24.95" customHeight="1" x14ac:dyDescent="0.3">
      <c r="A33" s="320" t="s">
        <v>591</v>
      </c>
      <c r="B33" s="389">
        <v>6000</v>
      </c>
      <c r="C33" s="118">
        <v>6000</v>
      </c>
      <c r="D33" s="362">
        <v>6000</v>
      </c>
      <c r="E33" s="360">
        <f t="shared" si="0"/>
        <v>100</v>
      </c>
    </row>
    <row r="34" spans="1:5" ht="24.95" customHeight="1" x14ac:dyDescent="0.3">
      <c r="A34" s="320" t="s">
        <v>350</v>
      </c>
      <c r="B34" s="389">
        <v>2000</v>
      </c>
      <c r="C34" s="118">
        <v>2000</v>
      </c>
      <c r="D34" s="362">
        <v>2000</v>
      </c>
      <c r="E34" s="360">
        <f t="shared" si="0"/>
        <v>100</v>
      </c>
    </row>
    <row r="35" spans="1:5" ht="24.95" customHeight="1" x14ac:dyDescent="0.3">
      <c r="A35" s="1453" t="s">
        <v>120</v>
      </c>
      <c r="B35" s="388">
        <v>2000</v>
      </c>
      <c r="C35" s="361">
        <v>2000</v>
      </c>
      <c r="D35" s="373">
        <v>2000</v>
      </c>
      <c r="E35" s="360">
        <f t="shared" si="0"/>
        <v>100</v>
      </c>
    </row>
    <row r="36" spans="1:5" ht="24.95" customHeight="1" x14ac:dyDescent="0.3">
      <c r="A36" s="423" t="s">
        <v>182</v>
      </c>
      <c r="B36" s="389">
        <v>1600</v>
      </c>
      <c r="C36" s="118">
        <v>1750</v>
      </c>
      <c r="D36" s="362">
        <v>1750</v>
      </c>
      <c r="E36" s="360">
        <f t="shared" si="0"/>
        <v>100</v>
      </c>
    </row>
    <row r="37" spans="1:5" ht="24.75" customHeight="1" x14ac:dyDescent="0.3">
      <c r="A37" s="1453" t="s">
        <v>24</v>
      </c>
      <c r="B37" s="389">
        <v>3500</v>
      </c>
      <c r="C37" s="118">
        <v>3580</v>
      </c>
      <c r="D37" s="362">
        <v>3580</v>
      </c>
      <c r="E37" s="360">
        <f t="shared" si="0"/>
        <v>100</v>
      </c>
    </row>
    <row r="38" spans="1:5" ht="26.25" customHeight="1" x14ac:dyDescent="0.3">
      <c r="A38" s="1453" t="s">
        <v>252</v>
      </c>
      <c r="B38" s="388">
        <v>1200</v>
      </c>
      <c r="C38" s="361">
        <v>1200</v>
      </c>
      <c r="D38" s="373">
        <v>1200</v>
      </c>
      <c r="E38" s="360">
        <f t="shared" si="0"/>
        <v>100</v>
      </c>
    </row>
    <row r="39" spans="1:5" ht="30" customHeight="1" x14ac:dyDescent="0.3">
      <c r="A39" s="1453" t="s">
        <v>253</v>
      </c>
      <c r="B39" s="388">
        <v>1500</v>
      </c>
      <c r="C39" s="361">
        <v>1500</v>
      </c>
      <c r="D39" s="373">
        <v>1500</v>
      </c>
      <c r="E39" s="360">
        <f t="shared" si="0"/>
        <v>100</v>
      </c>
    </row>
    <row r="40" spans="1:5" ht="27.75" customHeight="1" x14ac:dyDescent="0.3">
      <c r="A40" s="423" t="s">
        <v>244</v>
      </c>
      <c r="B40" s="389">
        <v>1000</v>
      </c>
      <c r="C40" s="118">
        <v>1000</v>
      </c>
      <c r="D40" s="362">
        <v>1000</v>
      </c>
      <c r="E40" s="360">
        <f t="shared" si="0"/>
        <v>100</v>
      </c>
    </row>
    <row r="41" spans="1:5" ht="24.95" customHeight="1" x14ac:dyDescent="0.3">
      <c r="A41" s="321" t="s">
        <v>503</v>
      </c>
      <c r="B41" s="391">
        <v>1000</v>
      </c>
      <c r="C41" s="363">
        <v>1000</v>
      </c>
      <c r="D41" s="428">
        <v>1000</v>
      </c>
      <c r="E41" s="360">
        <f t="shared" si="0"/>
        <v>100</v>
      </c>
    </row>
    <row r="42" spans="1:5" ht="24.95" customHeight="1" x14ac:dyDescent="0.3">
      <c r="A42" s="321" t="s">
        <v>504</v>
      </c>
      <c r="B42" s="391">
        <v>1000</v>
      </c>
      <c r="C42" s="363">
        <v>1000</v>
      </c>
      <c r="D42" s="428">
        <v>1000</v>
      </c>
      <c r="E42" s="360">
        <f t="shared" si="0"/>
        <v>100</v>
      </c>
    </row>
    <row r="43" spans="1:5" ht="24.95" customHeight="1" x14ac:dyDescent="0.3">
      <c r="A43" s="420" t="s">
        <v>570</v>
      </c>
      <c r="B43" s="419"/>
      <c r="C43" s="363">
        <v>800</v>
      </c>
      <c r="D43" s="428">
        <v>800</v>
      </c>
      <c r="E43" s="360">
        <f t="shared" si="0"/>
        <v>100</v>
      </c>
    </row>
    <row r="44" spans="1:5" ht="24.95" customHeight="1" x14ac:dyDescent="0.3">
      <c r="A44" s="1454" t="s">
        <v>391</v>
      </c>
      <c r="B44" s="392">
        <v>1000</v>
      </c>
      <c r="C44" s="364">
        <v>1000</v>
      </c>
      <c r="D44" s="429">
        <v>1000</v>
      </c>
      <c r="E44" s="360">
        <f t="shared" si="0"/>
        <v>100</v>
      </c>
    </row>
    <row r="45" spans="1:5" ht="24.95" customHeight="1" thickBot="1" x14ac:dyDescent="0.35">
      <c r="A45" s="1455" t="s">
        <v>533</v>
      </c>
      <c r="B45" s="393">
        <f>SUM(B23:B44)</f>
        <v>54650</v>
      </c>
      <c r="C45" s="365">
        <f>SUM(C23:C44)</f>
        <v>58680</v>
      </c>
      <c r="D45" s="365">
        <f>SUM(D23:D44)</f>
        <v>57680</v>
      </c>
      <c r="E45" s="366">
        <f t="shared" si="0"/>
        <v>98.295841854124063</v>
      </c>
    </row>
    <row r="46" spans="1:5" ht="24.95" customHeight="1" thickBot="1" x14ac:dyDescent="0.35">
      <c r="A46" s="1456" t="s">
        <v>534</v>
      </c>
      <c r="B46" s="393">
        <v>12000</v>
      </c>
      <c r="C46" s="365">
        <v>13100</v>
      </c>
      <c r="D46" s="365">
        <v>11050</v>
      </c>
      <c r="E46" s="366">
        <f t="shared" si="0"/>
        <v>84.351145038167942</v>
      </c>
    </row>
    <row r="47" spans="1:5" ht="34.5" customHeight="1" thickBot="1" x14ac:dyDescent="0.35">
      <c r="A47" s="1457" t="s">
        <v>535</v>
      </c>
      <c r="B47" s="394">
        <f>+B45+B46</f>
        <v>66650</v>
      </c>
      <c r="C47" s="130">
        <f>+C45+C46</f>
        <v>71780</v>
      </c>
      <c r="D47" s="130">
        <f>+D45+D46</f>
        <v>68730</v>
      </c>
      <c r="E47" s="366">
        <f t="shared" si="0"/>
        <v>95.750905544719984</v>
      </c>
    </row>
    <row r="48" spans="1:5" ht="24.75" customHeight="1" thickBot="1" x14ac:dyDescent="0.35">
      <c r="A48" s="1458" t="s">
        <v>536</v>
      </c>
      <c r="B48" s="229">
        <v>30000</v>
      </c>
      <c r="C48" s="120">
        <v>0</v>
      </c>
      <c r="D48" s="120"/>
      <c r="E48" s="215"/>
    </row>
    <row r="49" spans="1:5" ht="24.75" customHeight="1" x14ac:dyDescent="0.3">
      <c r="A49" s="1459" t="s">
        <v>1313</v>
      </c>
      <c r="B49" s="249"/>
      <c r="C49" s="367"/>
      <c r="D49" s="367"/>
      <c r="E49" s="368"/>
    </row>
    <row r="50" spans="1:5" ht="24.75" customHeight="1" x14ac:dyDescent="0.3">
      <c r="A50" s="1460" t="s">
        <v>376</v>
      </c>
      <c r="B50" s="395">
        <v>56000</v>
      </c>
      <c r="C50" s="369">
        <v>58456</v>
      </c>
      <c r="D50" s="369">
        <v>58130</v>
      </c>
      <c r="E50" s="370">
        <f t="shared" si="0"/>
        <v>99.442315587792535</v>
      </c>
    </row>
    <row r="51" spans="1:5" ht="24.75" customHeight="1" x14ac:dyDescent="0.3">
      <c r="A51" s="1461" t="s">
        <v>466</v>
      </c>
      <c r="B51" s="389">
        <v>30000</v>
      </c>
      <c r="C51" s="118">
        <v>40105</v>
      </c>
      <c r="D51" s="362">
        <v>33780</v>
      </c>
      <c r="E51" s="371">
        <f t="shared" ref="E51" si="1">+D51/C51*100</f>
        <v>84.228899139758141</v>
      </c>
    </row>
    <row r="52" spans="1:5" ht="24.75" customHeight="1" x14ac:dyDescent="0.3">
      <c r="A52" s="1462" t="s">
        <v>377</v>
      </c>
      <c r="B52" s="207">
        <v>30000</v>
      </c>
      <c r="C52" s="107">
        <v>30269</v>
      </c>
      <c r="D52" s="107">
        <v>28955</v>
      </c>
      <c r="E52" s="335">
        <f t="shared" si="0"/>
        <v>95.658924972744401</v>
      </c>
    </row>
    <row r="53" spans="1:5" ht="24.95" customHeight="1" thickBot="1" x14ac:dyDescent="0.35">
      <c r="A53" s="1463" t="s">
        <v>537</v>
      </c>
      <c r="B53" s="204">
        <f>SUM(B50:B52)</f>
        <v>116000</v>
      </c>
      <c r="C53" s="111">
        <f>SUM(C50:C52)</f>
        <v>128830</v>
      </c>
      <c r="D53" s="111">
        <f>SUM(D50:D52)</f>
        <v>120865</v>
      </c>
      <c r="E53" s="131">
        <f t="shared" si="0"/>
        <v>93.817433827524638</v>
      </c>
    </row>
    <row r="54" spans="1:5" ht="24.95" customHeight="1" thickBot="1" x14ac:dyDescent="0.35">
      <c r="A54" s="1390" t="s">
        <v>538</v>
      </c>
      <c r="B54" s="204">
        <f>B48+B53</f>
        <v>146000</v>
      </c>
      <c r="C54" s="111">
        <f>C48+C53</f>
        <v>128830</v>
      </c>
      <c r="D54" s="111">
        <f>D48+D53</f>
        <v>120865</v>
      </c>
      <c r="E54" s="215">
        <f t="shared" si="0"/>
        <v>93.817433827524638</v>
      </c>
    </row>
    <row r="55" spans="1:5" ht="24.95" customHeight="1" x14ac:dyDescent="0.3">
      <c r="A55" s="1464" t="s">
        <v>1314</v>
      </c>
      <c r="B55" s="249"/>
      <c r="C55" s="367"/>
      <c r="D55" s="367"/>
      <c r="E55" s="368"/>
    </row>
    <row r="56" spans="1:5" ht="40.5" customHeight="1" x14ac:dyDescent="0.3">
      <c r="A56" s="1465" t="s">
        <v>1315</v>
      </c>
      <c r="B56" s="396"/>
      <c r="C56" s="126"/>
      <c r="D56" s="126"/>
      <c r="E56" s="372"/>
    </row>
    <row r="57" spans="1:5" ht="24.95" customHeight="1" x14ac:dyDescent="0.3">
      <c r="A57" s="1452" t="s">
        <v>241</v>
      </c>
      <c r="B57" s="388">
        <v>2023</v>
      </c>
      <c r="C57" s="361">
        <v>2358</v>
      </c>
      <c r="D57" s="373">
        <v>1842</v>
      </c>
      <c r="E57" s="360">
        <f t="shared" si="0"/>
        <v>78.117048346055981</v>
      </c>
    </row>
    <row r="58" spans="1:5" ht="26.25" customHeight="1" x14ac:dyDescent="0.3">
      <c r="A58" s="1452" t="s">
        <v>351</v>
      </c>
      <c r="B58" s="387">
        <v>300</v>
      </c>
      <c r="C58" s="359">
        <v>300</v>
      </c>
      <c r="D58" s="374">
        <v>300</v>
      </c>
      <c r="E58" s="375">
        <f t="shared" si="0"/>
        <v>100</v>
      </c>
    </row>
    <row r="59" spans="1:5" ht="22.5" customHeight="1" x14ac:dyDescent="0.3">
      <c r="A59" s="1466" t="s">
        <v>505</v>
      </c>
      <c r="B59" s="390">
        <v>3000</v>
      </c>
      <c r="C59" s="128">
        <v>3000</v>
      </c>
      <c r="D59" s="376">
        <v>3000</v>
      </c>
      <c r="E59" s="375">
        <f t="shared" si="0"/>
        <v>100</v>
      </c>
    </row>
    <row r="60" spans="1:5" ht="27" customHeight="1" thickBot="1" x14ac:dyDescent="0.35">
      <c r="A60" s="1467" t="s">
        <v>539</v>
      </c>
      <c r="B60" s="397">
        <f>SUM(B57:B59)</f>
        <v>5323</v>
      </c>
      <c r="C60" s="377">
        <f>SUM(C57:C59)</f>
        <v>5658</v>
      </c>
      <c r="D60" s="377">
        <f>SUM(D57:D59)</f>
        <v>5142</v>
      </c>
      <c r="E60" s="366">
        <f t="shared" ref="E60:E67" si="2">+D60/C60*100</f>
        <v>90.880169671261939</v>
      </c>
    </row>
    <row r="61" spans="1:5" ht="24.95" customHeight="1" x14ac:dyDescent="0.3">
      <c r="A61" s="1459" t="s">
        <v>1316</v>
      </c>
      <c r="B61" s="249"/>
      <c r="C61" s="367"/>
      <c r="D61" s="367"/>
      <c r="E61" s="368"/>
    </row>
    <row r="62" spans="1:5" ht="24.95" customHeight="1" x14ac:dyDescent="0.3">
      <c r="A62" s="1468" t="s">
        <v>297</v>
      </c>
      <c r="B62" s="388">
        <v>5000</v>
      </c>
      <c r="C62" s="361">
        <v>5537</v>
      </c>
      <c r="D62" s="378">
        <v>4703</v>
      </c>
      <c r="E62" s="379">
        <f t="shared" si="2"/>
        <v>84.937691890915659</v>
      </c>
    </row>
    <row r="63" spans="1:5" ht="24.95" customHeight="1" x14ac:dyDescent="0.3">
      <c r="A63" s="1469" t="s">
        <v>422</v>
      </c>
      <c r="B63" s="392">
        <v>1500</v>
      </c>
      <c r="C63" s="364">
        <v>3326</v>
      </c>
      <c r="D63" s="380">
        <v>2646</v>
      </c>
      <c r="E63" s="375">
        <f>+D63/C63*100</f>
        <v>79.55502104630186</v>
      </c>
    </row>
    <row r="64" spans="1:5" ht="24.95" customHeight="1" thickBot="1" x14ac:dyDescent="0.35">
      <c r="A64" s="1470" t="s">
        <v>540</v>
      </c>
      <c r="B64" s="204">
        <f>SUM(B62:B63)</f>
        <v>6500</v>
      </c>
      <c r="C64" s="111">
        <f>SUM(C62:C63)</f>
        <v>8863</v>
      </c>
      <c r="D64" s="111">
        <f>SUM(D62:D63)</f>
        <v>7349</v>
      </c>
      <c r="E64" s="131">
        <f t="shared" si="2"/>
        <v>82.917747940877803</v>
      </c>
    </row>
    <row r="65" spans="1:5" ht="24.75" customHeight="1" thickBot="1" x14ac:dyDescent="0.35">
      <c r="A65" s="1399" t="s">
        <v>541</v>
      </c>
      <c r="B65" s="204">
        <f>B60+B64</f>
        <v>11823</v>
      </c>
      <c r="C65" s="111">
        <f>C60+C64</f>
        <v>14521</v>
      </c>
      <c r="D65" s="111">
        <f>D60+D64</f>
        <v>12491</v>
      </c>
      <c r="E65" s="215">
        <f t="shared" si="2"/>
        <v>86.020246539494522</v>
      </c>
    </row>
    <row r="66" spans="1:5" ht="24.95" customHeight="1" thickBot="1" x14ac:dyDescent="0.35">
      <c r="A66" s="1399" t="s">
        <v>1317</v>
      </c>
      <c r="B66" s="397">
        <f>+B47+B54+B65</f>
        <v>224473</v>
      </c>
      <c r="C66" s="377">
        <f>+C47+C54+C65</f>
        <v>215131</v>
      </c>
      <c r="D66" s="377">
        <f>+D47+D54+D65</f>
        <v>202086</v>
      </c>
      <c r="E66" s="215">
        <f t="shared" si="2"/>
        <v>93.936252794808738</v>
      </c>
    </row>
    <row r="67" spans="1:5" ht="24.95" customHeight="1" thickBot="1" x14ac:dyDescent="0.35">
      <c r="A67" s="1382" t="s">
        <v>1318</v>
      </c>
      <c r="B67" s="229">
        <f>+B20+B66</f>
        <v>3128261</v>
      </c>
      <c r="C67" s="120">
        <f>+C20+C66</f>
        <v>4370919</v>
      </c>
      <c r="D67" s="120">
        <f>+D20+D66</f>
        <v>3854333</v>
      </c>
      <c r="E67" s="215">
        <f t="shared" si="2"/>
        <v>88.181295512454014</v>
      </c>
    </row>
    <row r="68" spans="1:5" ht="15" customHeight="1" x14ac:dyDescent="0.25">
      <c r="A68" s="422"/>
      <c r="B68" s="61"/>
      <c r="C68" s="61"/>
      <c r="D68" s="61"/>
      <c r="E68" s="61"/>
    </row>
    <row r="69" spans="1:5" ht="15" customHeight="1" x14ac:dyDescent="0.25">
      <c r="A69" s="422"/>
      <c r="B69" s="61"/>
      <c r="C69" s="61"/>
      <c r="D69" s="76"/>
      <c r="E69" s="61"/>
    </row>
    <row r="70" spans="1:5" ht="24.75" customHeight="1" thickBot="1" x14ac:dyDescent="0.3">
      <c r="A70" s="1339" t="s">
        <v>15</v>
      </c>
      <c r="B70" s="64"/>
      <c r="C70" s="64"/>
      <c r="D70" s="64"/>
      <c r="E70" s="64"/>
    </row>
    <row r="71" spans="1:5" ht="24.75" customHeight="1" thickBot="1" x14ac:dyDescent="0.35">
      <c r="A71" s="1434" t="s">
        <v>28</v>
      </c>
      <c r="B71" s="1889" t="s">
        <v>496</v>
      </c>
      <c r="C71" s="1889"/>
      <c r="D71" s="187" t="s">
        <v>272</v>
      </c>
      <c r="E71" s="187" t="s">
        <v>83</v>
      </c>
    </row>
    <row r="72" spans="1:5" ht="24.75" customHeight="1" thickBot="1" x14ac:dyDescent="0.35">
      <c r="A72" s="1303"/>
      <c r="B72" s="310" t="s">
        <v>169</v>
      </c>
      <c r="C72" s="310" t="s">
        <v>81</v>
      </c>
      <c r="D72" s="216" t="s">
        <v>82</v>
      </c>
      <c r="E72" s="216" t="s">
        <v>84</v>
      </c>
    </row>
    <row r="73" spans="1:5" ht="24.75" customHeight="1" thickBot="1" x14ac:dyDescent="0.35">
      <c r="A73" s="381" t="s">
        <v>467</v>
      </c>
      <c r="B73" s="173"/>
      <c r="C73" s="173">
        <v>652</v>
      </c>
      <c r="D73" s="173">
        <v>651</v>
      </c>
      <c r="E73" s="1237">
        <f t="shared" ref="E73:E76" si="3">+D73/C73*100</f>
        <v>99.846625766871171</v>
      </c>
    </row>
    <row r="74" spans="1:5" ht="24.75" customHeight="1" thickBot="1" x14ac:dyDescent="0.35">
      <c r="A74" s="381" t="s">
        <v>413</v>
      </c>
      <c r="B74" s="173"/>
      <c r="C74" s="173">
        <v>74562</v>
      </c>
      <c r="D74" s="173">
        <v>72276</v>
      </c>
      <c r="E74" s="1237">
        <f t="shared" si="3"/>
        <v>96.934095115474378</v>
      </c>
    </row>
    <row r="75" spans="1:5" ht="24.75" customHeight="1" thickBot="1" x14ac:dyDescent="0.35">
      <c r="A75" s="1284" t="s">
        <v>414</v>
      </c>
      <c r="B75" s="1285"/>
      <c r="C75" s="1286">
        <v>17042</v>
      </c>
      <c r="D75" s="1286">
        <v>17041</v>
      </c>
      <c r="E75" s="1287">
        <f t="shared" si="3"/>
        <v>99.994132144114545</v>
      </c>
    </row>
    <row r="76" spans="1:5" ht="24.75" customHeight="1" thickBot="1" x14ac:dyDescent="0.35">
      <c r="A76" s="1284" t="s">
        <v>218</v>
      </c>
      <c r="B76" s="1285"/>
      <c r="C76" s="1286">
        <v>17571</v>
      </c>
      <c r="D76" s="1286">
        <v>11920</v>
      </c>
      <c r="E76" s="1287">
        <f t="shared" si="3"/>
        <v>67.839052985032154</v>
      </c>
    </row>
    <row r="77" spans="1:5" ht="24.75" customHeight="1" thickBot="1" x14ac:dyDescent="0.35">
      <c r="A77" s="1382" t="s">
        <v>281</v>
      </c>
      <c r="B77" s="173">
        <f>SUM(B73:B76)</f>
        <v>0</v>
      </c>
      <c r="C77" s="173">
        <f>SUM(C73:C76)</f>
        <v>109827</v>
      </c>
      <c r="D77" s="173">
        <f>SUM(D73:D76)</f>
        <v>101888</v>
      </c>
      <c r="E77" s="1237">
        <f t="shared" ref="E77:E79" si="4">+D77/C77*100</f>
        <v>92.77135859123895</v>
      </c>
    </row>
    <row r="78" spans="1:5" ht="15" customHeight="1" thickBot="1" x14ac:dyDescent="0.35">
      <c r="A78" s="424"/>
      <c r="B78" s="175"/>
      <c r="C78" s="175"/>
      <c r="D78" s="212"/>
      <c r="E78" s="399"/>
    </row>
    <row r="79" spans="1:5" ht="21.75" customHeight="1" thickBot="1" x14ac:dyDescent="0.35">
      <c r="A79" s="1382" t="s">
        <v>282</v>
      </c>
      <c r="B79" s="120">
        <f>+B67+B77</f>
        <v>3128261</v>
      </c>
      <c r="C79" s="120">
        <f>+C67+C77</f>
        <v>4480746</v>
      </c>
      <c r="D79" s="120">
        <f>+D67+D77</f>
        <v>3956221</v>
      </c>
      <c r="E79" s="215">
        <f t="shared" si="4"/>
        <v>88.293801969582745</v>
      </c>
    </row>
    <row r="80" spans="1:5" ht="15" customHeight="1" x14ac:dyDescent="0.2">
      <c r="D80" s="3"/>
    </row>
    <row r="81" spans="3:5" ht="15" customHeight="1" x14ac:dyDescent="0.2">
      <c r="D81" s="333"/>
      <c r="E81" s="3"/>
    </row>
    <row r="82" spans="3:5" ht="15" customHeight="1" x14ac:dyDescent="0.2">
      <c r="C82" s="3"/>
      <c r="D82" s="333"/>
      <c r="E82" s="3"/>
    </row>
    <row r="83" spans="3:5" ht="15" customHeight="1" x14ac:dyDescent="0.2">
      <c r="D83" s="333"/>
    </row>
    <row r="84" spans="3:5" ht="15" customHeight="1" x14ac:dyDescent="0.2">
      <c r="D84" s="333"/>
    </row>
    <row r="85" spans="3:5" ht="15" customHeight="1" x14ac:dyDescent="0.2">
      <c r="D85" s="333"/>
    </row>
    <row r="86" spans="3:5" ht="15" customHeight="1" x14ac:dyDescent="0.2">
      <c r="D86" s="3"/>
    </row>
  </sheetData>
  <mergeCells count="3">
    <mergeCell ref="B5:C5"/>
    <mergeCell ref="B71:C71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>
    <oddHeader xml:space="preserve">&amp;R&amp;"Calibri,Félkövér"&amp;14 9. melléklet  a &amp;12.../2025. (........) önkormányzati rendelethez </oddHeader>
  </headerFooter>
  <rowBreaks count="1" manualBreakCount="1">
    <brk id="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38</vt:i4>
      </vt:variant>
    </vt:vector>
  </HeadingPairs>
  <TitlesOfParts>
    <vt:vector size="68" baseType="lpstr">
      <vt:lpstr>1 kiemelt előirányzatok telj. </vt:lpstr>
      <vt:lpstr>2 mérleg </vt:lpstr>
      <vt:lpstr>3 bev.részl</vt:lpstr>
      <vt:lpstr>4 int.bev</vt:lpstr>
      <vt:lpstr>5 normativa</vt:lpstr>
      <vt:lpstr>6 int.kiad.</vt:lpstr>
      <vt:lpstr>7 létszám 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'7 létszám 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'3 bev.részl'!Nyomtatási_terület</vt:lpstr>
      <vt:lpstr>'30 Lízing'!Nyomtatási_terület</vt:lpstr>
      <vt:lpstr>'4 int.bev'!Nyomtatási_terület</vt:lpstr>
      <vt:lpstr>'5 normativa'!Nyomtatási_terület</vt:lpstr>
      <vt:lpstr>'6 int.kiad.'!Nyomtatási_terület</vt:lpstr>
      <vt:lpstr>'7 létszám 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Taschner Krisztina</cp:lastModifiedBy>
  <cp:lastPrinted>2025-05-06T13:20:16Z</cp:lastPrinted>
  <dcterms:created xsi:type="dcterms:W3CDTF">1998-01-10T07:52:54Z</dcterms:created>
  <dcterms:modified xsi:type="dcterms:W3CDTF">2025-05-16T07:46:18Z</dcterms:modified>
</cp:coreProperties>
</file>